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Denne_projektmappe" defaultThemeVersion="124226"/>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2AEC2883-A476-425E-B82B-1406F9B63892}" xr6:coauthVersionLast="47" xr6:coauthVersionMax="47" xr10:uidLastSave="{00000000-0000-0000-0000-000000000000}"/>
  <bookViews>
    <workbookView xWindow="1536" yWindow="1536" windowWidth="26796" windowHeight="15468" activeTab="7" xr2:uid="{00000000-000D-0000-FFFF-FFFF00000000}"/>
  </bookViews>
  <sheets>
    <sheet name="LOG" sheetId="8" r:id="rId1"/>
    <sheet name="Intro" sheetId="21" r:id="rId2"/>
    <sheet name="TAX_HPL_FuelInput" sheetId="16" r:id="rId3"/>
    <sheet name="TAX_CHP-SFuel" sheetId="17" r:id="rId4"/>
    <sheet name="TAX_CHP_MultiFuel-NEW" sheetId="20" r:id="rId5"/>
    <sheet name="Sub_CHP-Bio" sheetId="27" r:id="rId6"/>
    <sheet name="SUB_NGA" sheetId="26" r:id="rId7"/>
    <sheet name="Sub_Biogas" sheetId="24" r:id="rId8"/>
    <sheet name="Sub_Win_Sol" sheetId="25" r:id="rId9"/>
    <sheet name="Sub_CHP-Bio_Old" sheetId="18" r:id="rId10"/>
    <sheet name="FuelTax" sheetId="7" r:id="rId11"/>
    <sheet name="Dact Sub_Win_Sol2" sheetId="23" r:id="rId12"/>
    <sheet name="Dact Sub_Win_Sol" sheetId="22" r:id="rId13"/>
    <sheet name="Dact TAX_CHP_MultiFuel" sheetId="15" r:id="rId14"/>
    <sheet name="Template_SUB_CHP" sheetId="12" r:id="rId15"/>
    <sheet name="Template_SUB_RNW_ElcProd" sheetId="14" r:id="rId16"/>
    <sheet name="Template_TAX_CHP" sheetId="11" r:id="rId17"/>
    <sheet name="Template TAX_HPL_HeatProd" sheetId="5" r:id="rId18"/>
    <sheet name="Template SUB_HPL_HeatProd" sheetId="10" r:id="rId19"/>
  </sheets>
  <externalReferences>
    <externalReference r:id="rId20"/>
  </externalReferences>
  <definedNames>
    <definedName name="_xlnm._FilterDatabase" localSheetId="13" hidden="1">'Dact TAX_CHP_MultiFuel'!$E$15:$F$1562</definedName>
    <definedName name="_xlnm._FilterDatabase" localSheetId="4" hidden="1">'TAX_CHP_MultiFuel-NEW'!$E$15:$F$990</definedName>
    <definedName name="_xlnm._FilterDatabase" localSheetId="3" hidden="1">'TAX_CHP-SFuel'!$E$20:$F$225</definedName>
    <definedName name="_xlnm._FilterDatabase" localSheetId="2" hidden="1">TAX_HPL_FuelInput!$E$5:$F$415</definedName>
    <definedName name="_Order1" hidden="1">255</definedName>
    <definedName name="_Order2" hidden="1">255</definedName>
    <definedName name="_xlnm.Extract" localSheetId="3">'TAX_CHP-SFuel'!$M$20:$N$20</definedName>
    <definedName name="_xlnm.Extract" localSheetId="2">TAX_HPL_FuelInput!$M$5:$N$5</definedName>
    <definedName name="FIXWSTBP">'[1]O&amp;M waste '!$C$4</definedName>
    <definedName name="FuelTax2">FuelTax!$A$15:$AC$58</definedName>
    <definedName name="VARWSTBO">'[1]O&amp;M waste '!$D$5</definedName>
    <definedName name="VARWSTBP">'[1]O&amp;M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4" i="24" l="1"/>
  <c r="H80" i="24"/>
  <c r="H34" i="24" l="1"/>
  <c r="H35" i="24"/>
  <c r="H36" i="24"/>
  <c r="H37" i="24"/>
  <c r="H38" i="24"/>
  <c r="H39" i="24"/>
  <c r="H40" i="24"/>
  <c r="H41" i="24"/>
  <c r="H42" i="24"/>
  <c r="H43" i="24"/>
  <c r="H44" i="24"/>
  <c r="H45" i="24"/>
  <c r="H46" i="24"/>
  <c r="H47" i="24"/>
  <c r="H48" i="24"/>
  <c r="H49" i="24"/>
  <c r="H50" i="24"/>
  <c r="H51" i="24"/>
  <c r="H52" i="24"/>
  <c r="H53" i="24"/>
  <c r="H54" i="24"/>
  <c r="H55" i="24"/>
  <c r="H33" i="24"/>
  <c r="H20" i="24"/>
  <c r="H19" i="24"/>
  <c r="H18" i="24"/>
  <c r="H66" i="24" s="1"/>
  <c r="I66" i="24" s="1"/>
  <c r="H9" i="24"/>
  <c r="H67" i="24" l="1"/>
  <c r="I67" i="24" s="1"/>
  <c r="I52" i="24"/>
  <c r="H100" i="24"/>
  <c r="I100" i="24" s="1"/>
  <c r="I47" i="24"/>
  <c r="H95" i="24"/>
  <c r="I95" i="24" s="1"/>
  <c r="I46" i="24"/>
  <c r="H94" i="24"/>
  <c r="I94" i="24" s="1"/>
  <c r="I45" i="24"/>
  <c r="H93" i="24"/>
  <c r="I93" i="24" s="1"/>
  <c r="I44" i="24"/>
  <c r="H92" i="24"/>
  <c r="I92" i="24" s="1"/>
  <c r="I43" i="24"/>
  <c r="H91" i="24"/>
  <c r="I91" i="24" s="1"/>
  <c r="I50" i="24"/>
  <c r="H98" i="24"/>
  <c r="I98" i="24" s="1"/>
  <c r="I33" i="24"/>
  <c r="H81" i="24"/>
  <c r="I81" i="24" s="1"/>
  <c r="I39" i="24"/>
  <c r="H87" i="24"/>
  <c r="I87" i="24" s="1"/>
  <c r="I54" i="24"/>
  <c r="H102" i="24"/>
  <c r="I102" i="24" s="1"/>
  <c r="I38" i="24"/>
  <c r="H86" i="24"/>
  <c r="I86" i="24" s="1"/>
  <c r="H57" i="24"/>
  <c r="I57" i="24" s="1"/>
  <c r="I53" i="24"/>
  <c r="H101" i="24"/>
  <c r="I101" i="24" s="1"/>
  <c r="I36" i="24"/>
  <c r="H84" i="24"/>
  <c r="I84" i="24" s="1"/>
  <c r="H21" i="24"/>
  <c r="H68" i="24"/>
  <c r="I68" i="24" s="1"/>
  <c r="I55" i="24"/>
  <c r="H103" i="24"/>
  <c r="I103" i="24" s="1"/>
  <c r="I49" i="24"/>
  <c r="H97" i="24"/>
  <c r="I97" i="24" s="1"/>
  <c r="I42" i="24"/>
  <c r="H90" i="24"/>
  <c r="I90" i="24" s="1"/>
  <c r="I35" i="24"/>
  <c r="H83" i="24"/>
  <c r="I83" i="24" s="1"/>
  <c r="I51" i="24"/>
  <c r="H99" i="24"/>
  <c r="I99" i="24" s="1"/>
  <c r="I48" i="24"/>
  <c r="H96" i="24"/>
  <c r="I96" i="24" s="1"/>
  <c r="I41" i="24"/>
  <c r="H89" i="24"/>
  <c r="I89" i="24" s="1"/>
  <c r="I40" i="24"/>
  <c r="H88" i="24"/>
  <c r="I88" i="24" s="1"/>
  <c r="I37" i="24"/>
  <c r="H85" i="24"/>
  <c r="I85" i="24" s="1"/>
  <c r="I34" i="24"/>
  <c r="H82" i="24"/>
  <c r="I82" i="24" s="1"/>
  <c r="H10" i="24"/>
  <c r="H58" i="24" s="1"/>
  <c r="I58" i="24" s="1"/>
  <c r="H11" i="24"/>
  <c r="H59" i="24" s="1"/>
  <c r="I59" i="24" s="1"/>
  <c r="H12" i="24"/>
  <c r="H60" i="24" s="1"/>
  <c r="I60" i="24" s="1"/>
  <c r="H22" i="24" l="1"/>
  <c r="H69" i="24"/>
  <c r="I69" i="24" s="1"/>
  <c r="V195" i="24"/>
  <c r="U195" i="24"/>
  <c r="U174" i="24"/>
  <c r="U175" i="24"/>
  <c r="U176" i="24"/>
  <c r="U177" i="24"/>
  <c r="U178" i="24"/>
  <c r="U179" i="24"/>
  <c r="U180" i="24"/>
  <c r="U181" i="24"/>
  <c r="U182" i="24"/>
  <c r="U183" i="24"/>
  <c r="U184" i="24"/>
  <c r="U185" i="24"/>
  <c r="U186" i="24"/>
  <c r="U187" i="24"/>
  <c r="U188" i="24"/>
  <c r="U189" i="24"/>
  <c r="U190" i="24"/>
  <c r="U191" i="24"/>
  <c r="U192" i="24"/>
  <c r="U193" i="24"/>
  <c r="U194" i="24"/>
  <c r="U173" i="24"/>
  <c r="V191" i="24"/>
  <c r="V192" i="24"/>
  <c r="V193" i="24"/>
  <c r="V194" i="24"/>
  <c r="V186" i="24"/>
  <c r="V187" i="24"/>
  <c r="V188" i="24"/>
  <c r="V189" i="24"/>
  <c r="V190" i="24"/>
  <c r="V174" i="24"/>
  <c r="X174" i="24" s="1"/>
  <c r="I10" i="24" s="1"/>
  <c r="V175" i="24"/>
  <c r="X175" i="24" s="1"/>
  <c r="I11" i="24" s="1"/>
  <c r="V176" i="24"/>
  <c r="V177" i="24"/>
  <c r="V178" i="24"/>
  <c r="V179" i="24"/>
  <c r="V180" i="24"/>
  <c r="X180" i="24"/>
  <c r="H16" i="24" s="1"/>
  <c r="V181" i="24"/>
  <c r="V182" i="24"/>
  <c r="V183" i="24"/>
  <c r="X183" i="24" s="1"/>
  <c r="I19" i="24" s="1"/>
  <c r="V184" i="24"/>
  <c r="X184" i="24" s="1"/>
  <c r="I20" i="24" s="1"/>
  <c r="V185" i="24"/>
  <c r="X185" i="24" s="1"/>
  <c r="I21" i="24" s="1"/>
  <c r="V173" i="24"/>
  <c r="X179" i="24"/>
  <c r="H15" i="24" s="1"/>
  <c r="X178" i="24"/>
  <c r="H14" i="24" s="1"/>
  <c r="D4" i="8"/>
  <c r="I32" i="24"/>
  <c r="H582" i="16"/>
  <c r="I582" i="16" s="1"/>
  <c r="H583" i="16"/>
  <c r="I583" i="16"/>
  <c r="H584" i="16"/>
  <c r="I584" i="16"/>
  <c r="H585" i="16"/>
  <c r="I585" i="16" s="1"/>
  <c r="H586" i="16"/>
  <c r="I586" i="16" s="1"/>
  <c r="H588" i="16"/>
  <c r="I588" i="16" s="1"/>
  <c r="H591" i="16"/>
  <c r="I591" i="16"/>
  <c r="H592" i="16"/>
  <c r="I592" i="16" s="1"/>
  <c r="H593" i="16"/>
  <c r="I593" i="16"/>
  <c r="H594" i="16"/>
  <c r="I594" i="16" s="1"/>
  <c r="H595" i="16"/>
  <c r="I595" i="16" s="1"/>
  <c r="H596" i="16"/>
  <c r="I596" i="16"/>
  <c r="H597" i="16"/>
  <c r="I597" i="16"/>
  <c r="H598" i="16"/>
  <c r="I598" i="16"/>
  <c r="H599" i="16"/>
  <c r="I599" i="16" s="1"/>
  <c r="H600" i="16"/>
  <c r="I600" i="16" s="1"/>
  <c r="H601" i="16"/>
  <c r="I601" i="16" s="1"/>
  <c r="H602" i="16"/>
  <c r="I602" i="16"/>
  <c r="H603" i="16"/>
  <c r="I603" i="16"/>
  <c r="H604" i="16"/>
  <c r="I604" i="16" s="1"/>
  <c r="H605" i="16"/>
  <c r="I605" i="16"/>
  <c r="H606" i="16"/>
  <c r="I606" i="16" s="1"/>
  <c r="H607" i="16"/>
  <c r="I607" i="16" s="1"/>
  <c r="H608" i="16"/>
  <c r="I608" i="16" s="1"/>
  <c r="H609" i="16"/>
  <c r="I609" i="16"/>
  <c r="H610" i="16"/>
  <c r="I610" i="16" s="1"/>
  <c r="H611" i="16"/>
  <c r="I611" i="16"/>
  <c r="H612" i="16"/>
  <c r="I612" i="16"/>
  <c r="H613" i="16"/>
  <c r="I613" i="16" s="1"/>
  <c r="H614" i="16"/>
  <c r="I614" i="16" s="1"/>
  <c r="H615" i="16"/>
  <c r="I615" i="16"/>
  <c r="H616" i="16"/>
  <c r="I616" i="16" s="1"/>
  <c r="H617" i="16"/>
  <c r="I617" i="16"/>
  <c r="H618" i="16"/>
  <c r="I618" i="16" s="1"/>
  <c r="H619" i="16"/>
  <c r="I619" i="16"/>
  <c r="H620" i="16"/>
  <c r="I620" i="16" s="1"/>
  <c r="H581" i="16"/>
  <c r="I581" i="16"/>
  <c r="H580" i="16"/>
  <c r="I580" i="16"/>
  <c r="H579" i="16"/>
  <c r="I579" i="16" s="1"/>
  <c r="D5" i="8"/>
  <c r="M76" i="20"/>
  <c r="M77" i="20"/>
  <c r="M80" i="20"/>
  <c r="M81" i="20"/>
  <c r="M83" i="20"/>
  <c r="M84" i="20"/>
  <c r="M85" i="20"/>
  <c r="M86" i="20"/>
  <c r="M87" i="20"/>
  <c r="M91" i="20"/>
  <c r="M92" i="20"/>
  <c r="M93" i="20"/>
  <c r="M94" i="20"/>
  <c r="M95" i="20"/>
  <c r="M99" i="20"/>
  <c r="M100" i="20"/>
  <c r="M103" i="20"/>
  <c r="M104" i="20"/>
  <c r="M107" i="20"/>
  <c r="M108" i="20"/>
  <c r="M111" i="20"/>
  <c r="M112" i="20"/>
  <c r="M114" i="20"/>
  <c r="M116" i="20"/>
  <c r="M117" i="20"/>
  <c r="M118" i="20"/>
  <c r="M119" i="20"/>
  <c r="M123" i="20"/>
  <c r="M127"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L189" i="20"/>
  <c r="L188" i="20"/>
  <c r="L187" i="20"/>
  <c r="L186" i="20"/>
  <c r="L185" i="20"/>
  <c r="L184" i="20"/>
  <c r="L183" i="20"/>
  <c r="L182" i="20"/>
  <c r="L181" i="20"/>
  <c r="L180" i="20"/>
  <c r="L179" i="20"/>
  <c r="L178" i="20"/>
  <c r="L177" i="20"/>
  <c r="L176" i="20"/>
  <c r="L175" i="20"/>
  <c r="L174" i="20"/>
  <c r="L173" i="20"/>
  <c r="L172" i="20"/>
  <c r="L171" i="20"/>
  <c r="L170" i="20"/>
  <c r="L169" i="20"/>
  <c r="L168" i="20"/>
  <c r="L167" i="20"/>
  <c r="L166" i="20"/>
  <c r="L165" i="20"/>
  <c r="L164" i="20"/>
  <c r="L163" i="20"/>
  <c r="L162" i="20"/>
  <c r="L161" i="20"/>
  <c r="L160" i="20"/>
  <c r="L159" i="20"/>
  <c r="L158" i="20"/>
  <c r="L157" i="20"/>
  <c r="L156" i="20"/>
  <c r="L155" i="20"/>
  <c r="L154" i="20"/>
  <c r="H154" i="20" s="1"/>
  <c r="I154" i="20" s="1"/>
  <c r="L153" i="20"/>
  <c r="L152" i="20"/>
  <c r="L151" i="20"/>
  <c r="H151" i="20"/>
  <c r="I151" i="20" s="1"/>
  <c r="L150" i="20"/>
  <c r="L149" i="20"/>
  <c r="L148" i="20"/>
  <c r="L147" i="20"/>
  <c r="L146" i="20"/>
  <c r="L145" i="20"/>
  <c r="L144" i="20"/>
  <c r="L143" i="20"/>
  <c r="L142" i="20"/>
  <c r="L141" i="20"/>
  <c r="L140" i="20"/>
  <c r="L139" i="20"/>
  <c r="L138" i="20"/>
  <c r="L137" i="20"/>
  <c r="L136" i="20"/>
  <c r="L135" i="20"/>
  <c r="L134" i="20"/>
  <c r="L133" i="20"/>
  <c r="L132" i="20"/>
  <c r="L131" i="20"/>
  <c r="L130" i="20"/>
  <c r="L129" i="20"/>
  <c r="L128" i="20"/>
  <c r="L127" i="20"/>
  <c r="L126" i="20"/>
  <c r="L125" i="20"/>
  <c r="L124" i="20"/>
  <c r="L123" i="20"/>
  <c r="L122" i="20"/>
  <c r="L121"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H38" i="16"/>
  <c r="I38" i="16"/>
  <c r="H39" i="16"/>
  <c r="I39" i="16" s="1"/>
  <c r="H40" i="16"/>
  <c r="I40" i="16"/>
  <c r="H41" i="16"/>
  <c r="I41" i="16" s="1"/>
  <c r="H42" i="16"/>
  <c r="I42" i="16"/>
  <c r="H43" i="16"/>
  <c r="I43" i="16"/>
  <c r="H44" i="16"/>
  <c r="I44" i="16" s="1"/>
  <c r="H45" i="16"/>
  <c r="I45" i="16"/>
  <c r="H46" i="16"/>
  <c r="I46" i="16" s="1"/>
  <c r="H47" i="16"/>
  <c r="I47" i="16" s="1"/>
  <c r="H48" i="16"/>
  <c r="I48" i="16" s="1"/>
  <c r="H49" i="16"/>
  <c r="I49" i="16" s="1"/>
  <c r="H50" i="16"/>
  <c r="I50" i="16" s="1"/>
  <c r="H51" i="16"/>
  <c r="I51" i="16" s="1"/>
  <c r="H52" i="16"/>
  <c r="I52" i="16"/>
  <c r="H53" i="16"/>
  <c r="I53" i="16" s="1"/>
  <c r="H54" i="16"/>
  <c r="I54" i="16" s="1"/>
  <c r="H55" i="16"/>
  <c r="I55" i="16" s="1"/>
  <c r="H56" i="16"/>
  <c r="I56" i="16"/>
  <c r="H57" i="16"/>
  <c r="I57" i="16"/>
  <c r="H58" i="16"/>
  <c r="I58" i="16" s="1"/>
  <c r="H59" i="16"/>
  <c r="I59" i="16"/>
  <c r="H60" i="16"/>
  <c r="I60" i="16" s="1"/>
  <c r="H61" i="16"/>
  <c r="I61" i="16" s="1"/>
  <c r="H62" i="16"/>
  <c r="I62" i="16" s="1"/>
  <c r="H63" i="16"/>
  <c r="I63" i="16"/>
  <c r="H64" i="16"/>
  <c r="I64" i="16"/>
  <c r="H65" i="16"/>
  <c r="I65" i="16" s="1"/>
  <c r="H66" i="16"/>
  <c r="I66" i="16"/>
  <c r="H67" i="16"/>
  <c r="I67" i="16"/>
  <c r="H68" i="16"/>
  <c r="I68" i="16" s="1"/>
  <c r="H69" i="16"/>
  <c r="I69" i="16"/>
  <c r="H70" i="16"/>
  <c r="I70" i="16" s="1"/>
  <c r="H71" i="16"/>
  <c r="I71" i="16"/>
  <c r="H72" i="16"/>
  <c r="I72" i="16" s="1"/>
  <c r="H73" i="16"/>
  <c r="I73" i="16"/>
  <c r="H74" i="16"/>
  <c r="I74" i="16" s="1"/>
  <c r="H75" i="16"/>
  <c r="I75" i="16" s="1"/>
  <c r="H76" i="16"/>
  <c r="I76" i="16" s="1"/>
  <c r="H77" i="16"/>
  <c r="I77" i="16"/>
  <c r="H78" i="16"/>
  <c r="I78" i="16" s="1"/>
  <c r="H79" i="16"/>
  <c r="I79" i="16" s="1"/>
  <c r="H80" i="16"/>
  <c r="I80" i="16"/>
  <c r="H81" i="16"/>
  <c r="I81" i="16" s="1"/>
  <c r="H82" i="16"/>
  <c r="I82" i="16"/>
  <c r="H83" i="16"/>
  <c r="I83" i="16" s="1"/>
  <c r="H84" i="16"/>
  <c r="I84" i="16" s="1"/>
  <c r="H85" i="16"/>
  <c r="I85" i="16" s="1"/>
  <c r="H86" i="16"/>
  <c r="I86" i="16" s="1"/>
  <c r="H87" i="16"/>
  <c r="I87" i="16"/>
  <c r="H88" i="16"/>
  <c r="I88" i="16" s="1"/>
  <c r="H89" i="16"/>
  <c r="I89" i="16" s="1"/>
  <c r="H90" i="16"/>
  <c r="I90" i="16" s="1"/>
  <c r="H91" i="16"/>
  <c r="I91" i="16"/>
  <c r="H92" i="16"/>
  <c r="I92" i="16"/>
  <c r="H93" i="16"/>
  <c r="I93" i="16" s="1"/>
  <c r="H94" i="16"/>
  <c r="I94" i="16" s="1"/>
  <c r="H95" i="16"/>
  <c r="I95" i="16" s="1"/>
  <c r="H96" i="16"/>
  <c r="I96" i="16" s="1"/>
  <c r="H97" i="16"/>
  <c r="I97" i="16" s="1"/>
  <c r="H98" i="16"/>
  <c r="I98" i="16"/>
  <c r="H99" i="16"/>
  <c r="I99" i="16" s="1"/>
  <c r="H100" i="16"/>
  <c r="I100" i="16"/>
  <c r="H101" i="16"/>
  <c r="I101" i="16"/>
  <c r="H102" i="16"/>
  <c r="I102" i="16" s="1"/>
  <c r="H103" i="16"/>
  <c r="I103" i="16" s="1"/>
  <c r="H104" i="16"/>
  <c r="I104" i="16" s="1"/>
  <c r="H105" i="16"/>
  <c r="I105" i="16" s="1"/>
  <c r="H106" i="16"/>
  <c r="I106" i="16"/>
  <c r="H107" i="16"/>
  <c r="I107" i="16" s="1"/>
  <c r="H108" i="16"/>
  <c r="I108" i="16"/>
  <c r="H109" i="16"/>
  <c r="I109" i="16" s="1"/>
  <c r="H110" i="16"/>
  <c r="I110" i="16"/>
  <c r="H111" i="16"/>
  <c r="I111" i="16"/>
  <c r="H112" i="16"/>
  <c r="I112" i="16" s="1"/>
  <c r="H113" i="16"/>
  <c r="I113" i="16"/>
  <c r="H114" i="16"/>
  <c r="I114" i="16" s="1"/>
  <c r="H115" i="16"/>
  <c r="I115" i="16"/>
  <c r="H116" i="16"/>
  <c r="I116" i="16" s="1"/>
  <c r="H117" i="16"/>
  <c r="I117" i="16" s="1"/>
  <c r="H118" i="16"/>
  <c r="I118" i="16" s="1"/>
  <c r="H119" i="16"/>
  <c r="I119" i="16"/>
  <c r="H120" i="16"/>
  <c r="I120" i="16"/>
  <c r="H121" i="16"/>
  <c r="I121" i="16" s="1"/>
  <c r="H122" i="16"/>
  <c r="I122" i="16"/>
  <c r="H123" i="16"/>
  <c r="I123" i="16" s="1"/>
  <c r="H124" i="16"/>
  <c r="I124" i="16"/>
  <c r="H125" i="16"/>
  <c r="I125" i="16" s="1"/>
  <c r="H126" i="16"/>
  <c r="I126" i="16" s="1"/>
  <c r="H127" i="16"/>
  <c r="I127" i="16" s="1"/>
  <c r="H128" i="16"/>
  <c r="I128" i="16" s="1"/>
  <c r="H129" i="16"/>
  <c r="I129" i="16"/>
  <c r="H130" i="16"/>
  <c r="I130" i="16" s="1"/>
  <c r="H131" i="16"/>
  <c r="I131" i="16" s="1"/>
  <c r="H132" i="16"/>
  <c r="I132" i="16"/>
  <c r="H133" i="16"/>
  <c r="I133" i="16" s="1"/>
  <c r="H134" i="16"/>
  <c r="I134" i="16"/>
  <c r="H135" i="16"/>
  <c r="I135" i="16" s="1"/>
  <c r="H136" i="16"/>
  <c r="I136" i="16"/>
  <c r="H137" i="16"/>
  <c r="I137" i="16" s="1"/>
  <c r="H138" i="16"/>
  <c r="I138" i="16"/>
  <c r="H139" i="16"/>
  <c r="I139" i="16"/>
  <c r="H140" i="16"/>
  <c r="I140" i="16" s="1"/>
  <c r="H141" i="16"/>
  <c r="I141" i="16"/>
  <c r="H142" i="16"/>
  <c r="I142" i="16"/>
  <c r="H143" i="16"/>
  <c r="I143" i="16"/>
  <c r="H144" i="16"/>
  <c r="I144" i="16" s="1"/>
  <c r="H145" i="16"/>
  <c r="I145" i="16" s="1"/>
  <c r="H146" i="16"/>
  <c r="I146" i="16" s="1"/>
  <c r="H147" i="16"/>
  <c r="I147" i="16"/>
  <c r="H148" i="16"/>
  <c r="I148" i="16" s="1"/>
  <c r="H149" i="16"/>
  <c r="I149" i="16" s="1"/>
  <c r="H150" i="16"/>
  <c r="I150" i="16"/>
  <c r="H151" i="16"/>
  <c r="I151" i="16"/>
  <c r="H152" i="16"/>
  <c r="I152" i="16" s="1"/>
  <c r="H153" i="16"/>
  <c r="I153" i="16"/>
  <c r="H154" i="16"/>
  <c r="I154" i="16" s="1"/>
  <c r="H155" i="16"/>
  <c r="I155" i="16"/>
  <c r="H156" i="16"/>
  <c r="I156" i="16" s="1"/>
  <c r="H157" i="16"/>
  <c r="I157" i="16"/>
  <c r="H158" i="16"/>
  <c r="I158" i="16" s="1"/>
  <c r="H159" i="16"/>
  <c r="I159" i="16" s="1"/>
  <c r="H160" i="16"/>
  <c r="I160" i="16" s="1"/>
  <c r="H161" i="16"/>
  <c r="I161" i="16"/>
  <c r="H162" i="16"/>
  <c r="I162" i="16" s="1"/>
  <c r="H163" i="16"/>
  <c r="I163" i="16" s="1"/>
  <c r="H164" i="16"/>
  <c r="I164" i="16" s="1"/>
  <c r="H165" i="16"/>
  <c r="I165" i="16" s="1"/>
  <c r="H166" i="16"/>
  <c r="I166" i="16"/>
  <c r="H167" i="16"/>
  <c r="I167" i="16" s="1"/>
  <c r="H168" i="16"/>
  <c r="I168" i="16" s="1"/>
  <c r="H169" i="16"/>
  <c r="I169" i="16"/>
  <c r="H170" i="16"/>
  <c r="I170" i="16"/>
  <c r="H171" i="16"/>
  <c r="I171" i="16"/>
  <c r="H172" i="16"/>
  <c r="I172" i="16" s="1"/>
  <c r="H173" i="16"/>
  <c r="I173" i="16" s="1"/>
  <c r="H174" i="16"/>
  <c r="I174" i="16"/>
  <c r="H175" i="16"/>
  <c r="I175" i="16" s="1"/>
  <c r="H176" i="16"/>
  <c r="I176" i="16"/>
  <c r="H177" i="16"/>
  <c r="I177" i="16" s="1"/>
  <c r="H178" i="16"/>
  <c r="I178" i="16" s="1"/>
  <c r="H179" i="16"/>
  <c r="I179" i="16"/>
  <c r="H180" i="16"/>
  <c r="I180" i="16" s="1"/>
  <c r="H181" i="16"/>
  <c r="I181" i="16"/>
  <c r="H182" i="16"/>
  <c r="I182" i="16"/>
  <c r="H183" i="16"/>
  <c r="I183" i="16"/>
  <c r="H184" i="16"/>
  <c r="I184" i="16"/>
  <c r="H185" i="16"/>
  <c r="I185" i="16"/>
  <c r="H186" i="16"/>
  <c r="I186" i="16" s="1"/>
  <c r="H187" i="16"/>
  <c r="I187" i="16" s="1"/>
  <c r="H188" i="16"/>
  <c r="I188" i="16" s="1"/>
  <c r="H189" i="16"/>
  <c r="I189" i="16" s="1"/>
  <c r="H190" i="16"/>
  <c r="I190" i="16"/>
  <c r="H191" i="16"/>
  <c r="I191" i="16" s="1"/>
  <c r="H192" i="16"/>
  <c r="I192" i="16"/>
  <c r="H193" i="16"/>
  <c r="I193" i="16" s="1"/>
  <c r="H194" i="16"/>
  <c r="I194" i="16"/>
  <c r="H195" i="16"/>
  <c r="I195" i="16" s="1"/>
  <c r="H196" i="16"/>
  <c r="I196" i="16" s="1"/>
  <c r="H197" i="16"/>
  <c r="I197" i="16"/>
  <c r="H198" i="16"/>
  <c r="I198" i="16"/>
  <c r="H199" i="16"/>
  <c r="I199" i="16"/>
  <c r="H200" i="16"/>
  <c r="I200" i="16" s="1"/>
  <c r="H201" i="16"/>
  <c r="I201" i="16" s="1"/>
  <c r="H202" i="16"/>
  <c r="I202" i="16"/>
  <c r="H203" i="16"/>
  <c r="I203" i="16" s="1"/>
  <c r="H204" i="16"/>
  <c r="I204" i="16"/>
  <c r="H205" i="16"/>
  <c r="I205" i="16" s="1"/>
  <c r="H206" i="16"/>
  <c r="I206" i="16"/>
  <c r="H207" i="16"/>
  <c r="I207" i="16" s="1"/>
  <c r="H208" i="16"/>
  <c r="I208" i="16"/>
  <c r="H209" i="16"/>
  <c r="I209" i="16" s="1"/>
  <c r="H210" i="16"/>
  <c r="I210" i="16"/>
  <c r="H211" i="16"/>
  <c r="I211" i="16" s="1"/>
  <c r="H212" i="16"/>
  <c r="I212" i="16"/>
  <c r="H213" i="16"/>
  <c r="I213" i="16"/>
  <c r="H214" i="16"/>
  <c r="I214" i="16" s="1"/>
  <c r="H215" i="16"/>
  <c r="I215" i="16" s="1"/>
  <c r="H216" i="16"/>
  <c r="I216" i="16"/>
  <c r="H217" i="16"/>
  <c r="I217" i="16" s="1"/>
  <c r="H218" i="16"/>
  <c r="I218" i="16"/>
  <c r="H219" i="16"/>
  <c r="I219" i="16" s="1"/>
  <c r="H220" i="16"/>
  <c r="I220" i="16"/>
  <c r="H221" i="16"/>
  <c r="I221" i="16"/>
  <c r="H222" i="16"/>
  <c r="I222" i="16" s="1"/>
  <c r="H223" i="16"/>
  <c r="I223" i="16"/>
  <c r="H224" i="16"/>
  <c r="I224" i="16" s="1"/>
  <c r="H225" i="16"/>
  <c r="I225" i="16"/>
  <c r="H226" i="16"/>
  <c r="I226" i="16" s="1"/>
  <c r="H227" i="16"/>
  <c r="I227" i="16"/>
  <c r="H228" i="16"/>
  <c r="I228" i="16" s="1"/>
  <c r="H229" i="16"/>
  <c r="I229" i="16" s="1"/>
  <c r="H230" i="16"/>
  <c r="I230" i="16" s="1"/>
  <c r="H231" i="16"/>
  <c r="I231" i="16" s="1"/>
  <c r="H232" i="16"/>
  <c r="I232" i="16"/>
  <c r="H233" i="16"/>
  <c r="I233" i="16" s="1"/>
  <c r="H234" i="16"/>
  <c r="I234" i="16"/>
  <c r="H235" i="16"/>
  <c r="I235" i="16" s="1"/>
  <c r="H236" i="16"/>
  <c r="I236" i="16" s="1"/>
  <c r="H237" i="16"/>
  <c r="I237" i="16"/>
  <c r="H238" i="16"/>
  <c r="I238" i="16" s="1"/>
  <c r="H239" i="16"/>
  <c r="I239" i="16"/>
  <c r="H240" i="16"/>
  <c r="I240" i="16" s="1"/>
  <c r="H241" i="16"/>
  <c r="I241" i="16"/>
  <c r="H242" i="16"/>
  <c r="I242" i="16" s="1"/>
  <c r="H243" i="16"/>
  <c r="I243" i="16" s="1"/>
  <c r="H244" i="16"/>
  <c r="I244" i="16"/>
  <c r="H245" i="16"/>
  <c r="I245" i="16"/>
  <c r="H246" i="16"/>
  <c r="I246" i="16" s="1"/>
  <c r="H247" i="16"/>
  <c r="I247" i="16" s="1"/>
  <c r="H248" i="16"/>
  <c r="I248" i="16" s="1"/>
  <c r="H249" i="16"/>
  <c r="I249" i="16"/>
  <c r="H250" i="16"/>
  <c r="I250" i="16" s="1"/>
  <c r="H251" i="16"/>
  <c r="I251" i="16"/>
  <c r="H252" i="16"/>
  <c r="I252" i="16"/>
  <c r="H253" i="16"/>
  <c r="I253" i="16" s="1"/>
  <c r="H254" i="16"/>
  <c r="I254" i="16"/>
  <c r="H255" i="16"/>
  <c r="I255" i="16"/>
  <c r="H256" i="16"/>
  <c r="I256" i="16" s="1"/>
  <c r="H257" i="16"/>
  <c r="I257" i="16" s="1"/>
  <c r="H258" i="16"/>
  <c r="I258" i="16" s="1"/>
  <c r="H259" i="16"/>
  <c r="I259" i="16" s="1"/>
  <c r="H260" i="16"/>
  <c r="I260" i="16"/>
  <c r="H261" i="16"/>
  <c r="I261" i="16" s="1"/>
  <c r="H262" i="16"/>
  <c r="I262" i="16" s="1"/>
  <c r="H263" i="16"/>
  <c r="I263" i="16"/>
  <c r="H264" i="16"/>
  <c r="I264" i="16" s="1"/>
  <c r="H265" i="16"/>
  <c r="I265" i="16"/>
  <c r="H266" i="16"/>
  <c r="I266" i="16" s="1"/>
  <c r="H267" i="16"/>
  <c r="I267" i="16" s="1"/>
  <c r="H268" i="16"/>
  <c r="I268" i="16"/>
  <c r="H269" i="16"/>
  <c r="I269" i="16"/>
  <c r="H270" i="16"/>
  <c r="I270" i="16" s="1"/>
  <c r="H271" i="16"/>
  <c r="I271" i="16" s="1"/>
  <c r="H272" i="16"/>
  <c r="I272" i="16" s="1"/>
  <c r="H273" i="16"/>
  <c r="I273" i="16"/>
  <c r="H274" i="16"/>
  <c r="I274" i="16" s="1"/>
  <c r="H275" i="16"/>
  <c r="I275" i="16" s="1"/>
  <c r="H276" i="16"/>
  <c r="I276" i="16"/>
  <c r="H277" i="16"/>
  <c r="I277" i="16"/>
  <c r="H278" i="16"/>
  <c r="I278" i="16" s="1"/>
  <c r="H279" i="16"/>
  <c r="I279" i="16" s="1"/>
  <c r="H280" i="16"/>
  <c r="I280" i="16"/>
  <c r="H281" i="16"/>
  <c r="I281" i="16" s="1"/>
  <c r="H282" i="16"/>
  <c r="I282" i="16"/>
  <c r="H283" i="16"/>
  <c r="I283" i="16"/>
  <c r="H284" i="16"/>
  <c r="I284" i="16" s="1"/>
  <c r="H285" i="16"/>
  <c r="I285" i="16" s="1"/>
  <c r="H286" i="16"/>
  <c r="I286" i="16"/>
  <c r="H287" i="16"/>
  <c r="I287" i="16" s="1"/>
  <c r="H288" i="16"/>
  <c r="I288" i="16"/>
  <c r="H289" i="16"/>
  <c r="I289" i="16" s="1"/>
  <c r="H290" i="16"/>
  <c r="I290" i="16" s="1"/>
  <c r="H291" i="16"/>
  <c r="I291" i="16"/>
  <c r="H292" i="16"/>
  <c r="I292" i="16"/>
  <c r="H293" i="16"/>
  <c r="I293" i="16"/>
  <c r="H294" i="16"/>
  <c r="I294" i="16"/>
  <c r="H295" i="16"/>
  <c r="I295" i="16" s="1"/>
  <c r="H296" i="16"/>
  <c r="I296" i="16"/>
  <c r="H297" i="16"/>
  <c r="I297" i="16"/>
  <c r="H298" i="16"/>
  <c r="I298" i="16" s="1"/>
  <c r="H299" i="16"/>
  <c r="I299" i="16" s="1"/>
  <c r="H300" i="16"/>
  <c r="I300" i="16"/>
  <c r="H301" i="16"/>
  <c r="I301" i="16" s="1"/>
  <c r="H302" i="16"/>
  <c r="I302" i="16"/>
  <c r="H303" i="16"/>
  <c r="I303" i="16" s="1"/>
  <c r="H304" i="16"/>
  <c r="I304" i="16"/>
  <c r="H305" i="16"/>
  <c r="I305" i="16" s="1"/>
  <c r="H306" i="16"/>
  <c r="I306" i="16" s="1"/>
  <c r="H307" i="16"/>
  <c r="I307" i="16" s="1"/>
  <c r="H308" i="16"/>
  <c r="I308" i="16"/>
  <c r="H309" i="16"/>
  <c r="I309" i="16" s="1"/>
  <c r="H310" i="16"/>
  <c r="I310" i="16"/>
  <c r="H311" i="16"/>
  <c r="I311" i="16"/>
  <c r="H312" i="16"/>
  <c r="I312" i="16" s="1"/>
  <c r="H313" i="16"/>
  <c r="I313" i="16" s="1"/>
  <c r="H314" i="16"/>
  <c r="I314" i="16"/>
  <c r="H315" i="16"/>
  <c r="I315" i="16"/>
  <c r="H316" i="16"/>
  <c r="I316" i="16" s="1"/>
  <c r="H317" i="16"/>
  <c r="I317" i="16" s="1"/>
  <c r="H318" i="16"/>
  <c r="I318" i="16"/>
  <c r="H319" i="16"/>
  <c r="I319" i="16" s="1"/>
  <c r="H320" i="16"/>
  <c r="I320" i="16"/>
  <c r="H321" i="16"/>
  <c r="I321" i="16" s="1"/>
  <c r="H322" i="16"/>
  <c r="I322" i="16"/>
  <c r="H323" i="16"/>
  <c r="I323" i="16"/>
  <c r="H324" i="16"/>
  <c r="I324" i="16"/>
  <c r="H325" i="16"/>
  <c r="I325" i="16"/>
  <c r="H326" i="16"/>
  <c r="I326" i="16" s="1"/>
  <c r="H327" i="16"/>
  <c r="I327" i="16" s="1"/>
  <c r="H328" i="16"/>
  <c r="I328" i="16"/>
  <c r="H329" i="16"/>
  <c r="I329" i="16" s="1"/>
  <c r="H330" i="16"/>
  <c r="I330" i="16" s="1"/>
  <c r="H331" i="16"/>
  <c r="I331" i="16" s="1"/>
  <c r="H332" i="16"/>
  <c r="I332" i="16" s="1"/>
  <c r="H333" i="16"/>
  <c r="I333" i="16"/>
  <c r="H334" i="16"/>
  <c r="I334" i="16" s="1"/>
  <c r="H335" i="16"/>
  <c r="I335" i="16"/>
  <c r="H336" i="16"/>
  <c r="I336" i="16" s="1"/>
  <c r="H337" i="16"/>
  <c r="I337" i="16" s="1"/>
  <c r="H338" i="16"/>
  <c r="I338" i="16"/>
  <c r="H339" i="16"/>
  <c r="I339" i="16"/>
  <c r="H340" i="16"/>
  <c r="I340" i="16" s="1"/>
  <c r="H341" i="16"/>
  <c r="I341" i="16" s="1"/>
  <c r="H342" i="16"/>
  <c r="I342" i="16"/>
  <c r="H343" i="16"/>
  <c r="I343" i="16"/>
  <c r="H344" i="16"/>
  <c r="I344" i="16" s="1"/>
  <c r="H345" i="16"/>
  <c r="I345" i="16" s="1"/>
  <c r="H346" i="16"/>
  <c r="I346" i="16" s="1"/>
  <c r="H347" i="16"/>
  <c r="I347" i="16"/>
  <c r="H348" i="16"/>
  <c r="I348" i="16" s="1"/>
  <c r="H349" i="16"/>
  <c r="I349" i="16"/>
  <c r="H350" i="16"/>
  <c r="I350" i="16" s="1"/>
  <c r="H351" i="16"/>
  <c r="I351" i="16"/>
  <c r="H352" i="16"/>
  <c r="I352" i="16" s="1"/>
  <c r="H353" i="16"/>
  <c r="I353" i="16"/>
  <c r="H354" i="16"/>
  <c r="I354" i="16" s="1"/>
  <c r="H355" i="16"/>
  <c r="I355" i="16" s="1"/>
  <c r="H356" i="16"/>
  <c r="I356" i="16"/>
  <c r="H357" i="16"/>
  <c r="I357" i="16"/>
  <c r="H358" i="16"/>
  <c r="I358" i="16" s="1"/>
  <c r="H359" i="16"/>
  <c r="I359" i="16" s="1"/>
  <c r="H360" i="16"/>
  <c r="I360" i="16" s="1"/>
  <c r="H361" i="16"/>
  <c r="I361" i="16"/>
  <c r="H362" i="16"/>
  <c r="I362" i="16"/>
  <c r="H363" i="16"/>
  <c r="I363" i="16" s="1"/>
  <c r="H364" i="16"/>
  <c r="I364" i="16"/>
  <c r="H365" i="16"/>
  <c r="I365" i="16" s="1"/>
  <c r="H366" i="16"/>
  <c r="I366" i="16"/>
  <c r="H367" i="16"/>
  <c r="I367" i="16"/>
  <c r="H368" i="16"/>
  <c r="I368" i="16" s="1"/>
  <c r="H369" i="16"/>
  <c r="I369" i="16" s="1"/>
  <c r="H370" i="16"/>
  <c r="I370" i="16" s="1"/>
  <c r="H371" i="16"/>
  <c r="I371" i="16" s="1"/>
  <c r="H372" i="16"/>
  <c r="I372" i="16" s="1"/>
  <c r="H373" i="16"/>
  <c r="I373" i="16" s="1"/>
  <c r="H374" i="16"/>
  <c r="I374" i="16" s="1"/>
  <c r="H375" i="16"/>
  <c r="I375" i="16"/>
  <c r="H376" i="16"/>
  <c r="I376" i="16" s="1"/>
  <c r="H377" i="16"/>
  <c r="I377" i="16" s="1"/>
  <c r="H378" i="16"/>
  <c r="I378" i="16"/>
  <c r="H379" i="16"/>
  <c r="I379" i="16" s="1"/>
  <c r="H380" i="16"/>
  <c r="I380" i="16"/>
  <c r="H381" i="16"/>
  <c r="I381" i="16"/>
  <c r="H383" i="16"/>
  <c r="I383" i="16" s="1"/>
  <c r="H386" i="16"/>
  <c r="I386" i="16"/>
  <c r="H387" i="16"/>
  <c r="I387" i="16" s="1"/>
  <c r="H388" i="16"/>
  <c r="I388" i="16" s="1"/>
  <c r="H389" i="16"/>
  <c r="I389" i="16"/>
  <c r="H390" i="16"/>
  <c r="I390" i="16"/>
  <c r="H391" i="16"/>
  <c r="I391" i="16"/>
  <c r="H392" i="16"/>
  <c r="I392" i="16"/>
  <c r="H393" i="16"/>
  <c r="I393" i="16"/>
  <c r="H394" i="16"/>
  <c r="I394" i="16" s="1"/>
  <c r="H395" i="16"/>
  <c r="I395" i="16"/>
  <c r="H396" i="16"/>
  <c r="I396" i="16" s="1"/>
  <c r="H397" i="16"/>
  <c r="I397" i="16" s="1"/>
  <c r="H398" i="16"/>
  <c r="I398" i="16"/>
  <c r="H399" i="16"/>
  <c r="I399" i="16"/>
  <c r="H400" i="16"/>
  <c r="I400" i="16" s="1"/>
  <c r="H401" i="16"/>
  <c r="I401" i="16" s="1"/>
  <c r="H402" i="16"/>
  <c r="I402" i="16" s="1"/>
  <c r="H403" i="16"/>
  <c r="I403" i="16" s="1"/>
  <c r="H404" i="16"/>
  <c r="I404" i="16"/>
  <c r="H405" i="16"/>
  <c r="I405" i="16" s="1"/>
  <c r="H406" i="16"/>
  <c r="I406" i="16"/>
  <c r="H407" i="16"/>
  <c r="I407" i="16" s="1"/>
  <c r="H408" i="16"/>
  <c r="I408" i="16" s="1"/>
  <c r="H409" i="16"/>
  <c r="I409" i="16"/>
  <c r="H410" i="16"/>
  <c r="I410" i="16" s="1"/>
  <c r="H411" i="16"/>
  <c r="I411" i="16" s="1"/>
  <c r="H412" i="16"/>
  <c r="I412" i="16"/>
  <c r="H413" i="16"/>
  <c r="I413" i="16" s="1"/>
  <c r="H414" i="16"/>
  <c r="I414" i="16"/>
  <c r="H415" i="16"/>
  <c r="I415" i="16" s="1"/>
  <c r="H416" i="16"/>
  <c r="I416" i="16" s="1"/>
  <c r="H417" i="16"/>
  <c r="I417" i="16" s="1"/>
  <c r="H418" i="16"/>
  <c r="I418" i="16"/>
  <c r="H419" i="16"/>
  <c r="I419" i="16" s="1"/>
  <c r="H420" i="16"/>
  <c r="I420" i="16" s="1"/>
  <c r="H421" i="16"/>
  <c r="I421" i="16"/>
  <c r="H422" i="16"/>
  <c r="I422" i="16"/>
  <c r="H423" i="16"/>
  <c r="I423" i="16"/>
  <c r="H424" i="16"/>
  <c r="I424" i="16" s="1"/>
  <c r="H425" i="16"/>
  <c r="I425" i="16" s="1"/>
  <c r="H426" i="16"/>
  <c r="I426" i="16" s="1"/>
  <c r="H427" i="16"/>
  <c r="I427" i="16"/>
  <c r="H428" i="16"/>
  <c r="I428" i="16" s="1"/>
  <c r="H429" i="16"/>
  <c r="I429" i="16" s="1"/>
  <c r="H430" i="16"/>
  <c r="I430" i="16"/>
  <c r="H431" i="16"/>
  <c r="I431" i="16"/>
  <c r="H432" i="16"/>
  <c r="I432" i="16"/>
  <c r="H433" i="16"/>
  <c r="I433" i="16" s="1"/>
  <c r="H434" i="16"/>
  <c r="I434" i="16" s="1"/>
  <c r="H435" i="16"/>
  <c r="I435" i="16"/>
  <c r="H436" i="16"/>
  <c r="I436" i="16" s="1"/>
  <c r="H437" i="16"/>
  <c r="I437" i="16"/>
  <c r="H438" i="16"/>
  <c r="I438" i="16" s="1"/>
  <c r="H439" i="16"/>
  <c r="I439" i="16" s="1"/>
  <c r="H440" i="16"/>
  <c r="I440" i="16" s="1"/>
  <c r="H441" i="16"/>
  <c r="I441" i="16" s="1"/>
  <c r="H442" i="16"/>
  <c r="I442" i="16" s="1"/>
  <c r="H443" i="16"/>
  <c r="I443" i="16" s="1"/>
  <c r="H444" i="16"/>
  <c r="I444" i="16"/>
  <c r="H445" i="16"/>
  <c r="I445" i="16"/>
  <c r="H446" i="16"/>
  <c r="I446" i="16"/>
  <c r="H447" i="16"/>
  <c r="I447" i="16" s="1"/>
  <c r="H448" i="16"/>
  <c r="I448" i="16"/>
  <c r="H449" i="16"/>
  <c r="I449" i="16" s="1"/>
  <c r="H450" i="16"/>
  <c r="I450" i="16" s="1"/>
  <c r="H451" i="16"/>
  <c r="I451" i="16"/>
  <c r="H452" i="16"/>
  <c r="I452" i="16" s="1"/>
  <c r="H453" i="16"/>
  <c r="I453" i="16" s="1"/>
  <c r="H454" i="16"/>
  <c r="I454" i="16" s="1"/>
  <c r="H455" i="16"/>
  <c r="I455" i="16"/>
  <c r="H456" i="16"/>
  <c r="I456" i="16"/>
  <c r="H457" i="16"/>
  <c r="I457" i="16" s="1"/>
  <c r="H458" i="16"/>
  <c r="I458" i="16" s="1"/>
  <c r="H459" i="16"/>
  <c r="I459" i="16"/>
  <c r="H460" i="16"/>
  <c r="I460" i="16" s="1"/>
  <c r="H461" i="16"/>
  <c r="I461" i="16"/>
  <c r="H462" i="16"/>
  <c r="I462" i="16" s="1"/>
  <c r="H463" i="16"/>
  <c r="I463" i="16"/>
  <c r="H464" i="16"/>
  <c r="I464" i="16" s="1"/>
  <c r="H465" i="16"/>
  <c r="I465" i="16"/>
  <c r="H466" i="16"/>
  <c r="I466" i="16" s="1"/>
  <c r="H467" i="16"/>
  <c r="I467" i="16" s="1"/>
  <c r="H468" i="16"/>
  <c r="I468" i="16" s="1"/>
  <c r="H469" i="16"/>
  <c r="I469" i="16"/>
  <c r="H470" i="16"/>
  <c r="I470" i="16" s="1"/>
  <c r="H471" i="16"/>
  <c r="I471" i="16" s="1"/>
  <c r="H472" i="16"/>
  <c r="I472" i="16"/>
  <c r="H473" i="16"/>
  <c r="I473" i="16" s="1"/>
  <c r="H474" i="16"/>
  <c r="I474" i="16"/>
  <c r="H475" i="16"/>
  <c r="I475" i="16"/>
  <c r="H476" i="16"/>
  <c r="I476" i="16"/>
  <c r="H477" i="16"/>
  <c r="I477" i="16"/>
  <c r="H478" i="16"/>
  <c r="I478" i="16" s="1"/>
  <c r="H479" i="16"/>
  <c r="I479" i="16"/>
  <c r="H480" i="16"/>
  <c r="I480" i="16" s="1"/>
  <c r="H481" i="16"/>
  <c r="I481" i="16" s="1"/>
  <c r="H482" i="16"/>
  <c r="I482" i="16" s="1"/>
  <c r="H483" i="16"/>
  <c r="I483" i="16" s="1"/>
  <c r="H484" i="16"/>
  <c r="I484" i="16"/>
  <c r="H485" i="16"/>
  <c r="I485" i="16" s="1"/>
  <c r="H486" i="16"/>
  <c r="I486" i="16" s="1"/>
  <c r="H487" i="16"/>
  <c r="I487" i="16" s="1"/>
  <c r="H488" i="16"/>
  <c r="I488" i="16" s="1"/>
  <c r="H489" i="16"/>
  <c r="I489" i="16" s="1"/>
  <c r="H490" i="16"/>
  <c r="I490" i="16"/>
  <c r="H491" i="16"/>
  <c r="I491" i="16" s="1"/>
  <c r="H492" i="16"/>
  <c r="I492" i="16"/>
  <c r="H493" i="16"/>
  <c r="I493" i="16"/>
  <c r="H494" i="16"/>
  <c r="I494" i="16" s="1"/>
  <c r="H495" i="16"/>
  <c r="I495" i="16" s="1"/>
  <c r="H496" i="16"/>
  <c r="I496" i="16"/>
  <c r="H497" i="16"/>
  <c r="I497" i="16" s="1"/>
  <c r="H498" i="16"/>
  <c r="I498" i="16"/>
  <c r="H499" i="16"/>
  <c r="I499" i="16" s="1"/>
  <c r="H500" i="16"/>
  <c r="I500" i="16"/>
  <c r="H501" i="16"/>
  <c r="I501" i="16" s="1"/>
  <c r="H502" i="16"/>
  <c r="I502" i="16"/>
  <c r="H503" i="16"/>
  <c r="I503" i="16"/>
  <c r="H504" i="16"/>
  <c r="I504" i="16" s="1"/>
  <c r="H505" i="16"/>
  <c r="I505" i="16"/>
  <c r="H506" i="16"/>
  <c r="I506" i="16" s="1"/>
  <c r="H507" i="16"/>
  <c r="I507" i="16"/>
  <c r="H508" i="16"/>
  <c r="I508" i="16" s="1"/>
  <c r="H509" i="16"/>
  <c r="I509" i="16" s="1"/>
  <c r="H510" i="16"/>
  <c r="I510" i="16" s="1"/>
  <c r="H511" i="16"/>
  <c r="I511" i="16"/>
  <c r="H512" i="16"/>
  <c r="I512" i="16"/>
  <c r="H513" i="16"/>
  <c r="I513" i="16" s="1"/>
  <c r="H514" i="16"/>
  <c r="I514" i="16"/>
  <c r="H515" i="16"/>
  <c r="I515" i="16" s="1"/>
  <c r="H516" i="16"/>
  <c r="I516" i="16"/>
  <c r="H517" i="16"/>
  <c r="I517" i="16" s="1"/>
  <c r="H518" i="16"/>
  <c r="I518" i="16" s="1"/>
  <c r="H519" i="16"/>
  <c r="I519" i="16" s="1"/>
  <c r="H520" i="16"/>
  <c r="I520" i="16" s="1"/>
  <c r="H521" i="16"/>
  <c r="I521" i="16"/>
  <c r="H522" i="16"/>
  <c r="I522" i="16" s="1"/>
  <c r="H523" i="16"/>
  <c r="I523" i="16" s="1"/>
  <c r="H524" i="16"/>
  <c r="I524" i="16"/>
  <c r="H525" i="16"/>
  <c r="I525" i="16" s="1"/>
  <c r="H526" i="16"/>
  <c r="I526" i="16"/>
  <c r="H527" i="16"/>
  <c r="I527" i="16" s="1"/>
  <c r="H528" i="16"/>
  <c r="I528" i="16" s="1"/>
  <c r="H529" i="16"/>
  <c r="I529" i="16" s="1"/>
  <c r="H530" i="16"/>
  <c r="I530" i="16" s="1"/>
  <c r="H531" i="16"/>
  <c r="I531" i="16"/>
  <c r="H532" i="16"/>
  <c r="I532" i="16"/>
  <c r="H533" i="16"/>
  <c r="I533" i="16"/>
  <c r="H534" i="16"/>
  <c r="I534" i="16"/>
  <c r="H535" i="16"/>
  <c r="I535" i="16"/>
  <c r="H536" i="16"/>
  <c r="I536" i="16" s="1"/>
  <c r="H537" i="16"/>
  <c r="I537" i="16" s="1"/>
  <c r="H538" i="16"/>
  <c r="I538" i="16" s="1"/>
  <c r="H539" i="16"/>
  <c r="I539" i="16"/>
  <c r="H540" i="16"/>
  <c r="I540" i="16" s="1"/>
  <c r="H541" i="16"/>
  <c r="I541" i="16" s="1"/>
  <c r="H542" i="16"/>
  <c r="I542" i="16"/>
  <c r="H543" i="16"/>
  <c r="I543" i="16" s="1"/>
  <c r="H544" i="16"/>
  <c r="I544" i="16" s="1"/>
  <c r="H545" i="16"/>
  <c r="I545" i="16"/>
  <c r="H546" i="16"/>
  <c r="I546" i="16" s="1"/>
  <c r="H547" i="16"/>
  <c r="I547" i="16"/>
  <c r="H548" i="16"/>
  <c r="I548" i="16" s="1"/>
  <c r="H549" i="16"/>
  <c r="I549" i="16"/>
  <c r="H550" i="16"/>
  <c r="I550" i="16" s="1"/>
  <c r="H551" i="16"/>
  <c r="I551" i="16" s="1"/>
  <c r="H552" i="16"/>
  <c r="I552" i="16" s="1"/>
  <c r="H553" i="16"/>
  <c r="I553" i="16"/>
  <c r="H554" i="16"/>
  <c r="I554" i="16" s="1"/>
  <c r="H555" i="16"/>
  <c r="I555" i="16" s="1"/>
  <c r="H556" i="16"/>
  <c r="I556" i="16" s="1"/>
  <c r="H557" i="16"/>
  <c r="I557" i="16" s="1"/>
  <c r="H558" i="16"/>
  <c r="I558" i="16" s="1"/>
  <c r="H559" i="16"/>
  <c r="I559" i="16"/>
  <c r="H560" i="16"/>
  <c r="I560" i="16" s="1"/>
  <c r="H561" i="16"/>
  <c r="I561" i="16" s="1"/>
  <c r="H562" i="16"/>
  <c r="I562" i="16"/>
  <c r="H563" i="16"/>
  <c r="I563" i="16"/>
  <c r="H564" i="16"/>
  <c r="I564" i="16" s="1"/>
  <c r="H565" i="16"/>
  <c r="I565" i="16" s="1"/>
  <c r="H566" i="16"/>
  <c r="I566" i="16"/>
  <c r="H567" i="16"/>
  <c r="I567" i="16"/>
  <c r="H568" i="16"/>
  <c r="I568" i="16"/>
  <c r="H569" i="16"/>
  <c r="I569" i="16" s="1"/>
  <c r="H570" i="16"/>
  <c r="I570" i="16" s="1"/>
  <c r="H571" i="16"/>
  <c r="I571" i="16"/>
  <c r="H572" i="16"/>
  <c r="I572" i="16"/>
  <c r="H573" i="16"/>
  <c r="I573" i="16"/>
  <c r="H574" i="16"/>
  <c r="I574" i="16" s="1"/>
  <c r="H575" i="16"/>
  <c r="I575" i="16" s="1"/>
  <c r="H576" i="16"/>
  <c r="I576" i="16"/>
  <c r="H577" i="16"/>
  <c r="I577" i="16"/>
  <c r="H578" i="16"/>
  <c r="I578" i="16" s="1"/>
  <c r="N12" i="26"/>
  <c r="N14" i="26" s="1"/>
  <c r="K32" i="26" s="1"/>
  <c r="D6" i="8"/>
  <c r="K1" i="25"/>
  <c r="M1" i="25"/>
  <c r="P1" i="25" s="1"/>
  <c r="R1" i="25" s="1"/>
  <c r="C8" i="25"/>
  <c r="C42" i="25" s="1"/>
  <c r="E42" i="25" s="1"/>
  <c r="I131" i="25" s="1"/>
  <c r="J131" i="25" s="1"/>
  <c r="E8" i="25"/>
  <c r="I122" i="25" s="1"/>
  <c r="I123" i="25" s="1"/>
  <c r="A9" i="25"/>
  <c r="C9" i="25"/>
  <c r="E9" i="25"/>
  <c r="I126" i="25" s="1"/>
  <c r="A10" i="25"/>
  <c r="C10" i="25" s="1"/>
  <c r="E10" i="25" s="1"/>
  <c r="I129" i="25" s="1"/>
  <c r="A11" i="25"/>
  <c r="C11" i="25"/>
  <c r="E11" i="25" s="1"/>
  <c r="A12" i="25"/>
  <c r="C12" i="25"/>
  <c r="E12" i="25"/>
  <c r="A13" i="25"/>
  <c r="C13" i="25" s="1"/>
  <c r="E13" i="25" s="1"/>
  <c r="A14" i="25"/>
  <c r="C14" i="25"/>
  <c r="E14" i="25" s="1"/>
  <c r="A15" i="25"/>
  <c r="C15" i="25"/>
  <c r="E15" i="25" s="1"/>
  <c r="A16" i="25"/>
  <c r="C16" i="25" s="1"/>
  <c r="E16" i="25" s="1"/>
  <c r="A17" i="25"/>
  <c r="C17" i="25" s="1"/>
  <c r="E17" i="25"/>
  <c r="A18" i="25"/>
  <c r="C18" i="25" s="1"/>
  <c r="E18" i="25"/>
  <c r="A19" i="25"/>
  <c r="C19" i="25"/>
  <c r="E19" i="25"/>
  <c r="A20" i="25"/>
  <c r="C20" i="25" s="1"/>
  <c r="E20" i="25" s="1"/>
  <c r="A21" i="25"/>
  <c r="C21" i="25"/>
  <c r="E21" i="25" s="1"/>
  <c r="A22" i="25"/>
  <c r="C22" i="25"/>
  <c r="E22" i="25"/>
  <c r="C23" i="25"/>
  <c r="E23" i="25" s="1"/>
  <c r="A24" i="25"/>
  <c r="C24" i="25" s="1"/>
  <c r="E24" i="25" s="1"/>
  <c r="A25" i="25"/>
  <c r="C25" i="25" s="1"/>
  <c r="E25" i="25"/>
  <c r="A26" i="25"/>
  <c r="C26" i="25"/>
  <c r="E26" i="25"/>
  <c r="J126" i="25" s="1"/>
  <c r="A27" i="25"/>
  <c r="C27" i="25" s="1"/>
  <c r="E27" i="25" s="1"/>
  <c r="A28" i="25"/>
  <c r="C28" i="25"/>
  <c r="E28" i="25"/>
  <c r="A29" i="25"/>
  <c r="C29" i="25" s="1"/>
  <c r="E29" i="25" s="1"/>
  <c r="A30" i="25"/>
  <c r="C30" i="25"/>
  <c r="E30" i="25" s="1"/>
  <c r="A31" i="25"/>
  <c r="C31" i="25"/>
  <c r="E31" i="25"/>
  <c r="A32" i="25"/>
  <c r="C32" i="25" s="1"/>
  <c r="E32" i="25"/>
  <c r="A33" i="25"/>
  <c r="C33" i="25" s="1"/>
  <c r="E33" i="25"/>
  <c r="A34" i="25"/>
  <c r="C34" i="25"/>
  <c r="E34" i="25" s="1"/>
  <c r="A35" i="25"/>
  <c r="C35" i="25"/>
  <c r="E35" i="25" s="1"/>
  <c r="A36" i="25"/>
  <c r="C36" i="25"/>
  <c r="E36" i="25"/>
  <c r="A37" i="25"/>
  <c r="C37" i="25" s="1"/>
  <c r="E37" i="25"/>
  <c r="E38" i="25"/>
  <c r="E39" i="25"/>
  <c r="I156" i="25" s="1"/>
  <c r="E40" i="25"/>
  <c r="C43" i="25"/>
  <c r="E43" i="25"/>
  <c r="C44" i="25"/>
  <c r="E44" i="25" s="1"/>
  <c r="I135" i="25" s="1"/>
  <c r="J135" i="25" s="1"/>
  <c r="C45" i="25"/>
  <c r="E45" i="25"/>
  <c r="C46" i="25"/>
  <c r="E46" i="25"/>
  <c r="J137" i="25" s="1"/>
  <c r="C47" i="25"/>
  <c r="E47" i="25"/>
  <c r="E48" i="25"/>
  <c r="I137" i="25" s="1"/>
  <c r="E49" i="25"/>
  <c r="E50" i="25"/>
  <c r="I159" i="25" s="1"/>
  <c r="J159" i="25" s="1"/>
  <c r="E51" i="25"/>
  <c r="C53" i="25"/>
  <c r="E53" i="25"/>
  <c r="C54" i="25"/>
  <c r="C55" i="25"/>
  <c r="E55" i="25"/>
  <c r="C56" i="25"/>
  <c r="C57" i="25"/>
  <c r="E57" i="25"/>
  <c r="C58" i="25"/>
  <c r="C88" i="25" s="1"/>
  <c r="E58" i="25"/>
  <c r="C59" i="25"/>
  <c r="C89" i="25" s="1"/>
  <c r="C60" i="25"/>
  <c r="E60" i="25"/>
  <c r="C61" i="25"/>
  <c r="C91" i="25" s="1"/>
  <c r="E91" i="25" s="1"/>
  <c r="C62" i="25"/>
  <c r="E62" i="25"/>
  <c r="C63" i="25"/>
  <c r="C93" i="25" s="1"/>
  <c r="E93" i="25" s="1"/>
  <c r="C64" i="25"/>
  <c r="C65" i="25"/>
  <c r="E65" i="25" s="1"/>
  <c r="C66" i="25"/>
  <c r="E66" i="25" s="1"/>
  <c r="C67" i="25"/>
  <c r="C97" i="25" s="1"/>
  <c r="E97" i="25" s="1"/>
  <c r="E67" i="25"/>
  <c r="C68" i="25"/>
  <c r="E68" i="25" s="1"/>
  <c r="J145" i="25" s="1"/>
  <c r="C69" i="25"/>
  <c r="C99" i="25" s="1"/>
  <c r="E99" i="25" s="1"/>
  <c r="E69" i="25"/>
  <c r="J150" i="25" s="1"/>
  <c r="C70" i="25"/>
  <c r="E70" i="25" s="1"/>
  <c r="C71" i="25"/>
  <c r="E71" i="25"/>
  <c r="J141" i="25" s="1"/>
  <c r="C72" i="25"/>
  <c r="C73" i="25"/>
  <c r="E73" i="25" s="1"/>
  <c r="J146" i="25" s="1"/>
  <c r="C74" i="25"/>
  <c r="C75" i="25"/>
  <c r="E75" i="25" s="1"/>
  <c r="C76" i="25"/>
  <c r="E76" i="25"/>
  <c r="J151" i="25" s="1"/>
  <c r="C77" i="25"/>
  <c r="C78" i="25"/>
  <c r="E78" i="25"/>
  <c r="C79" i="25"/>
  <c r="E79" i="25" s="1"/>
  <c r="C80" i="25"/>
  <c r="C81" i="25"/>
  <c r="E81" i="25"/>
  <c r="C82" i="25"/>
  <c r="C112" i="25" s="1"/>
  <c r="E112" i="25" s="1"/>
  <c r="J153" i="25" s="1"/>
  <c r="E82" i="25"/>
  <c r="C83" i="25"/>
  <c r="E83" i="25" s="1"/>
  <c r="C85" i="25"/>
  <c r="E85" i="25" s="1"/>
  <c r="C87" i="25"/>
  <c r="E87" i="25"/>
  <c r="I142" i="25" s="1"/>
  <c r="E88" i="25"/>
  <c r="E89" i="25"/>
  <c r="C90" i="25"/>
  <c r="E90" i="25" s="1"/>
  <c r="C92" i="25"/>
  <c r="E92" i="25" s="1"/>
  <c r="I152" i="25" s="1"/>
  <c r="C95" i="25"/>
  <c r="E95" i="25" s="1"/>
  <c r="C96" i="25"/>
  <c r="E96" i="25" s="1"/>
  <c r="I143" i="25" s="1"/>
  <c r="C101" i="25"/>
  <c r="E101" i="25" s="1"/>
  <c r="C105" i="25"/>
  <c r="E105" i="25" s="1"/>
  <c r="C106" i="25"/>
  <c r="E106" i="25" s="1"/>
  <c r="C108" i="25"/>
  <c r="E108" i="25" s="1"/>
  <c r="C111" i="25"/>
  <c r="E111" i="25"/>
  <c r="J143" i="25" s="1"/>
  <c r="E113" i="25"/>
  <c r="I161" i="25" s="1"/>
  <c r="J161" i="25" s="1"/>
  <c r="E114" i="25"/>
  <c r="E115" i="25"/>
  <c r="D122" i="25"/>
  <c r="D123" i="25" s="1"/>
  <c r="D124" i="25" s="1"/>
  <c r="F122" i="25"/>
  <c r="F123" i="25" s="1"/>
  <c r="F124" i="25" s="1"/>
  <c r="J122" i="25"/>
  <c r="J123" i="25" s="1"/>
  <c r="J124" i="25"/>
  <c r="F125" i="25"/>
  <c r="F126" i="25" s="1"/>
  <c r="F127" i="25" s="1"/>
  <c r="J125" i="25"/>
  <c r="D126" i="25"/>
  <c r="D127" i="25"/>
  <c r="J127" i="25"/>
  <c r="F128" i="25"/>
  <c r="F129" i="25" s="1"/>
  <c r="F130" i="25" s="1"/>
  <c r="D129" i="25"/>
  <c r="J129" i="25"/>
  <c r="D130" i="25"/>
  <c r="J130" i="25"/>
  <c r="D131" i="25"/>
  <c r="F131" i="25"/>
  <c r="D132" i="25"/>
  <c r="F132" i="25"/>
  <c r="F133" i="25" s="1"/>
  <c r="I132" i="25"/>
  <c r="J132" i="25" s="1"/>
  <c r="D133" i="25"/>
  <c r="J133" i="25"/>
  <c r="F134" i="25"/>
  <c r="I134" i="25"/>
  <c r="J134" i="25" s="1"/>
  <c r="D135" i="25"/>
  <c r="F135" i="25"/>
  <c r="D136" i="25"/>
  <c r="F136" i="25"/>
  <c r="J136" i="25"/>
  <c r="D137" i="25"/>
  <c r="F137" i="25"/>
  <c r="F138" i="25" s="1"/>
  <c r="F139" i="25" s="1"/>
  <c r="D138" i="25"/>
  <c r="D139" i="25" s="1"/>
  <c r="J138" i="25"/>
  <c r="D140" i="25"/>
  <c r="D141" i="25" s="1"/>
  <c r="F140" i="25"/>
  <c r="F142" i="25" s="1"/>
  <c r="J140" i="25"/>
  <c r="E141" i="25"/>
  <c r="F141" i="25"/>
  <c r="G141" i="25"/>
  <c r="H141" i="25"/>
  <c r="H142" i="25"/>
  <c r="H143" i="25" s="1"/>
  <c r="C143" i="25"/>
  <c r="E143" i="25"/>
  <c r="F143" i="25"/>
  <c r="G143" i="25"/>
  <c r="F144" i="25"/>
  <c r="J144" i="25"/>
  <c r="F145" i="25"/>
  <c r="F147" i="25" s="1"/>
  <c r="F149" i="25" s="1"/>
  <c r="D146" i="25"/>
  <c r="D148" i="25" s="1"/>
  <c r="D149" i="25" s="1"/>
  <c r="E146" i="25"/>
  <c r="F146" i="25"/>
  <c r="G146" i="25"/>
  <c r="H146" i="25"/>
  <c r="I146" i="25"/>
  <c r="D147" i="25"/>
  <c r="H147" i="25"/>
  <c r="H148" i="25" s="1"/>
  <c r="I147" i="25"/>
  <c r="C148" i="25"/>
  <c r="E148" i="25"/>
  <c r="F148" i="25"/>
  <c r="G148" i="25"/>
  <c r="J148" i="25"/>
  <c r="J149" i="25"/>
  <c r="D150" i="25"/>
  <c r="D151" i="25" s="1"/>
  <c r="F150" i="25"/>
  <c r="F151" i="25" s="1"/>
  <c r="C151" i="25"/>
  <c r="E151" i="25"/>
  <c r="G151" i="25"/>
  <c r="H151" i="25"/>
  <c r="H152" i="25" s="1"/>
  <c r="L151" i="25"/>
  <c r="F152" i="25"/>
  <c r="F153" i="25" s="1"/>
  <c r="C153" i="25"/>
  <c r="E153" i="25"/>
  <c r="G153" i="25"/>
  <c r="H153" i="25"/>
  <c r="L153" i="25"/>
  <c r="F154" i="25"/>
  <c r="J154" i="25"/>
  <c r="I155" i="25"/>
  <c r="J155" i="25"/>
  <c r="W155" i="25"/>
  <c r="X155" i="25"/>
  <c r="Y155" i="25"/>
  <c r="T178" i="25" s="1"/>
  <c r="U178" i="25" s="1"/>
  <c r="J156" i="25"/>
  <c r="W156" i="25"/>
  <c r="X156" i="25"/>
  <c r="Y156" i="25"/>
  <c r="W157" i="25"/>
  <c r="X157" i="25"/>
  <c r="Y157" i="25"/>
  <c r="I158" i="25"/>
  <c r="J158" i="25" s="1"/>
  <c r="W158" i="25"/>
  <c r="X158" i="25"/>
  <c r="Y158" i="25"/>
  <c r="W159" i="25"/>
  <c r="X159" i="25"/>
  <c r="Y159" i="25"/>
  <c r="W160" i="25"/>
  <c r="X160" i="25"/>
  <c r="Y160" i="25"/>
  <c r="W161" i="25"/>
  <c r="X161" i="25"/>
  <c r="Y161" i="25"/>
  <c r="I162" i="25"/>
  <c r="J162" i="25" s="1"/>
  <c r="W162" i="25"/>
  <c r="X162" i="25"/>
  <c r="Y162" i="25"/>
  <c r="W163" i="25"/>
  <c r="X163" i="25"/>
  <c r="Y163" i="25"/>
  <c r="W165" i="25"/>
  <c r="X165" i="25"/>
  <c r="W167" i="25"/>
  <c r="X167" i="25"/>
  <c r="W168" i="25"/>
  <c r="X168" i="25"/>
  <c r="W172" i="25"/>
  <c r="X172" i="25"/>
  <c r="W173" i="25"/>
  <c r="X173" i="25"/>
  <c r="X174" i="25"/>
  <c r="X175" i="25"/>
  <c r="X176" i="25"/>
  <c r="X177" i="25"/>
  <c r="X178" i="25"/>
  <c r="D7" i="8"/>
  <c r="S66" i="18"/>
  <c r="T66" i="18" s="1"/>
  <c r="L66" i="18"/>
  <c r="I66" i="18"/>
  <c r="L51" i="20"/>
  <c r="L52" i="20"/>
  <c r="L53" i="20"/>
  <c r="L58" i="20"/>
  <c r="C8" i="20"/>
  <c r="B10" i="20"/>
  <c r="H83" i="20" s="1"/>
  <c r="I83" i="20" s="1"/>
  <c r="L66" i="20"/>
  <c r="S145" i="18"/>
  <c r="T145" i="18" s="1"/>
  <c r="L145" i="18" s="1"/>
  <c r="I145" i="18" s="1"/>
  <c r="X72" i="20"/>
  <c r="L72" i="20"/>
  <c r="X66" i="20"/>
  <c r="U66" i="20" s="1"/>
  <c r="V66" i="20"/>
  <c r="X67" i="20"/>
  <c r="U67" i="20"/>
  <c r="V67" i="20" s="1"/>
  <c r="L67" i="20"/>
  <c r="X68" i="20"/>
  <c r="U68" i="20" s="1"/>
  <c r="V68" i="20" s="1"/>
  <c r="L68" i="20"/>
  <c r="L62" i="20"/>
  <c r="X59" i="20"/>
  <c r="L59" i="20"/>
  <c r="X60" i="20"/>
  <c r="L60" i="20"/>
  <c r="S45" i="18"/>
  <c r="T45" i="18"/>
  <c r="L45" i="18" s="1"/>
  <c r="I45" i="18" s="1"/>
  <c r="M16" i="20"/>
  <c r="M74" i="20" s="1"/>
  <c r="S18" i="18"/>
  <c r="T18" i="18" s="1"/>
  <c r="L19" i="20"/>
  <c r="H19" i="20"/>
  <c r="H582" i="17"/>
  <c r="I582" i="17" s="1"/>
  <c r="H580" i="17"/>
  <c r="I580" i="17" s="1"/>
  <c r="H574" i="17"/>
  <c r="I574" i="17" s="1"/>
  <c r="H572" i="17"/>
  <c r="I572" i="17" s="1"/>
  <c r="H571" i="17"/>
  <c r="I571" i="17" s="1"/>
  <c r="X25" i="20"/>
  <c r="U25" i="20"/>
  <c r="V25" i="20" s="1"/>
  <c r="L25" i="20"/>
  <c r="H25" i="20"/>
  <c r="I25" i="20"/>
  <c r="X26" i="20"/>
  <c r="U26" i="20" s="1"/>
  <c r="V26" i="20" s="1"/>
  <c r="L26" i="20"/>
  <c r="H26" i="20" s="1"/>
  <c r="I26" i="20" s="1"/>
  <c r="X49" i="20"/>
  <c r="U49" i="20" s="1"/>
  <c r="V49" i="20" s="1"/>
  <c r="L49" i="20"/>
  <c r="H49" i="20"/>
  <c r="I49" i="20" s="1"/>
  <c r="X41" i="20"/>
  <c r="U41" i="20"/>
  <c r="V41" i="20" s="1"/>
  <c r="L41" i="20"/>
  <c r="L21" i="20"/>
  <c r="S48" i="18"/>
  <c r="T48" i="18" s="1"/>
  <c r="L48" i="18" s="1"/>
  <c r="I48" i="18" s="1"/>
  <c r="L34" i="20"/>
  <c r="X34" i="20"/>
  <c r="U34" i="20"/>
  <c r="V34" i="20" s="1"/>
  <c r="X35" i="20"/>
  <c r="U35" i="20" s="1"/>
  <c r="V35" i="20" s="1"/>
  <c r="L35" i="20"/>
  <c r="H35" i="20"/>
  <c r="I35" i="20" s="1"/>
  <c r="D8" i="8"/>
  <c r="H494" i="17"/>
  <c r="I494" i="17" s="1"/>
  <c r="H493" i="17"/>
  <c r="I493" i="17" s="1"/>
  <c r="H489" i="17"/>
  <c r="I489" i="17" s="1"/>
  <c r="D9" i="8"/>
  <c r="L17" i="20"/>
  <c r="H17" i="20" s="1"/>
  <c r="I17" i="20" s="1"/>
  <c r="M17" i="20"/>
  <c r="M75" i="20" s="1"/>
  <c r="L18" i="20"/>
  <c r="H18" i="20" s="1"/>
  <c r="I18" i="20" s="1"/>
  <c r="L20" i="20"/>
  <c r="L22" i="20"/>
  <c r="H22" i="20"/>
  <c r="I22" i="20" s="1"/>
  <c r="L23" i="20"/>
  <c r="H23" i="20" s="1"/>
  <c r="L24" i="20"/>
  <c r="S60" i="18"/>
  <c r="T60" i="18"/>
  <c r="L60" i="18"/>
  <c r="I60" i="18" s="1"/>
  <c r="L27" i="20"/>
  <c r="L28" i="20"/>
  <c r="L29" i="20"/>
  <c r="L30" i="20"/>
  <c r="L31" i="20"/>
  <c r="S103" i="18"/>
  <c r="T103" i="18"/>
  <c r="L103" i="18" s="1"/>
  <c r="I103" i="18"/>
  <c r="M31" i="20" s="1"/>
  <c r="L32" i="20"/>
  <c r="L33" i="20"/>
  <c r="L36" i="20"/>
  <c r="H36" i="20" s="1"/>
  <c r="I36" i="20" s="1"/>
  <c r="L37" i="20"/>
  <c r="H37" i="20" s="1"/>
  <c r="I37" i="20"/>
  <c r="L38" i="20"/>
  <c r="S109" i="18"/>
  <c r="T109" i="18"/>
  <c r="L109" i="18"/>
  <c r="I109" i="18" s="1"/>
  <c r="L39" i="20"/>
  <c r="S112" i="18"/>
  <c r="T112" i="18" s="1"/>
  <c r="L112" i="18" s="1"/>
  <c r="I112" i="18" s="1"/>
  <c r="M40" i="20" s="1"/>
  <c r="M98" i="20" s="1"/>
  <c r="M39" i="20"/>
  <c r="M97" i="20" s="1"/>
  <c r="L40" i="20"/>
  <c r="H40" i="20" s="1"/>
  <c r="L42" i="20"/>
  <c r="H42" i="20"/>
  <c r="I42" i="20" s="1"/>
  <c r="L43" i="20"/>
  <c r="S115" i="18"/>
  <c r="T115" i="18" s="1"/>
  <c r="L115" i="18"/>
  <c r="I115" i="18" s="1"/>
  <c r="L44" i="20"/>
  <c r="L45" i="20"/>
  <c r="H45" i="20"/>
  <c r="I45" i="20"/>
  <c r="L46" i="20"/>
  <c r="L47" i="20"/>
  <c r="S121" i="18"/>
  <c r="T121" i="18" s="1"/>
  <c r="L121" i="18"/>
  <c r="I121" i="18" s="1"/>
  <c r="J121" i="18" s="1"/>
  <c r="L48" i="20"/>
  <c r="L50" i="20"/>
  <c r="L54" i="20"/>
  <c r="L55" i="20"/>
  <c r="S73" i="18"/>
  <c r="T73" i="18" s="1"/>
  <c r="L73" i="18" s="1"/>
  <c r="I73" i="18" s="1"/>
  <c r="L56" i="20"/>
  <c r="H56" i="20" s="1"/>
  <c r="I56" i="20"/>
  <c r="L57" i="20"/>
  <c r="S79" i="18"/>
  <c r="T79" i="18" s="1"/>
  <c r="L79" i="18" s="1"/>
  <c r="I79" i="18" s="1"/>
  <c r="L61" i="20"/>
  <c r="H61" i="20" s="1"/>
  <c r="I61" i="20" s="1"/>
  <c r="L63" i="20"/>
  <c r="L64" i="20"/>
  <c r="L65" i="20"/>
  <c r="H65" i="20"/>
  <c r="I65" i="20" s="1"/>
  <c r="L69" i="20"/>
  <c r="H69" i="20"/>
  <c r="I69" i="20" s="1"/>
  <c r="L70" i="20"/>
  <c r="L71" i="20"/>
  <c r="L73" i="20"/>
  <c r="H73" i="20"/>
  <c r="L16" i="20"/>
  <c r="H16" i="20" s="1"/>
  <c r="H471" i="17"/>
  <c r="I471" i="17" s="1"/>
  <c r="H462" i="17"/>
  <c r="I462" i="17" s="1"/>
  <c r="H459" i="17"/>
  <c r="I459" i="17" s="1"/>
  <c r="H458" i="17"/>
  <c r="I458" i="17" s="1"/>
  <c r="H449" i="17"/>
  <c r="I449" i="17" s="1"/>
  <c r="H440" i="17"/>
  <c r="I440" i="17" s="1"/>
  <c r="H435" i="17"/>
  <c r="I435" i="17" s="1"/>
  <c r="J19" i="27"/>
  <c r="I19" i="27"/>
  <c r="J18" i="27"/>
  <c r="I18" i="27"/>
  <c r="D10" i="8"/>
  <c r="H343" i="17"/>
  <c r="I343" i="17" s="1"/>
  <c r="H336" i="17"/>
  <c r="I336" i="17" s="1"/>
  <c r="H330" i="17"/>
  <c r="I330" i="17" s="1"/>
  <c r="H329" i="17"/>
  <c r="I329" i="17" s="1"/>
  <c r="H326" i="17"/>
  <c r="I326" i="17"/>
  <c r="H325" i="17"/>
  <c r="I325" i="17"/>
  <c r="H316" i="17"/>
  <c r="I316" i="17" s="1"/>
  <c r="H308" i="17"/>
  <c r="I308" i="17" s="1"/>
  <c r="K13" i="26"/>
  <c r="K14" i="26"/>
  <c r="K16" i="26"/>
  <c r="K17" i="26"/>
  <c r="K18" i="26"/>
  <c r="K21" i="26"/>
  <c r="K22" i="26"/>
  <c r="K25" i="26"/>
  <c r="K27" i="26"/>
  <c r="K28" i="26"/>
  <c r="K31" i="26"/>
  <c r="K34" i="26"/>
  <c r="K35" i="26"/>
  <c r="C28" i="7"/>
  <c r="H385" i="16" s="1"/>
  <c r="I385" i="16" s="1"/>
  <c r="C27" i="7"/>
  <c r="C26" i="7"/>
  <c r="C25" i="7"/>
  <c r="H382" i="16" s="1"/>
  <c r="I382" i="16" s="1"/>
  <c r="L18" i="18"/>
  <c r="L19" i="18"/>
  <c r="I19" i="18" s="1"/>
  <c r="J19" i="18" s="1"/>
  <c r="L20" i="18"/>
  <c r="I20" i="18" s="1"/>
  <c r="J20" i="18" s="1"/>
  <c r="S21" i="18"/>
  <c r="T21" i="18"/>
  <c r="L21" i="18" s="1"/>
  <c r="I21" i="18" s="1"/>
  <c r="S22" i="18"/>
  <c r="T22" i="18"/>
  <c r="L22" i="18" s="1"/>
  <c r="I22" i="18"/>
  <c r="J22" i="18" s="1"/>
  <c r="L23" i="18"/>
  <c r="I23" i="18"/>
  <c r="J23" i="18" s="1"/>
  <c r="S24" i="18"/>
  <c r="T24" i="18"/>
  <c r="L24" i="18"/>
  <c r="I24" i="18" s="1"/>
  <c r="J24" i="18" s="1"/>
  <c r="S25" i="18"/>
  <c r="T25" i="18" s="1"/>
  <c r="L25" i="18" s="1"/>
  <c r="I25" i="18" s="1"/>
  <c r="J25" i="18" s="1"/>
  <c r="L26" i="18"/>
  <c r="I26" i="18"/>
  <c r="S27" i="18"/>
  <c r="T27" i="18" s="1"/>
  <c r="L27" i="18" s="1"/>
  <c r="I27" i="18" s="1"/>
  <c r="J27" i="18" s="1"/>
  <c r="S28" i="18"/>
  <c r="T28" i="18" s="1"/>
  <c r="L28" i="18" s="1"/>
  <c r="I28" i="18" s="1"/>
  <c r="J28" i="18" s="1"/>
  <c r="L29" i="18"/>
  <c r="I29" i="18" s="1"/>
  <c r="J29" i="18" s="1"/>
  <c r="S30" i="18"/>
  <c r="T30" i="18"/>
  <c r="L30" i="18" s="1"/>
  <c r="I30" i="18" s="1"/>
  <c r="J30" i="18" s="1"/>
  <c r="S31" i="18"/>
  <c r="T31" i="18" s="1"/>
  <c r="L31" i="18" s="1"/>
  <c r="I31" i="18"/>
  <c r="L32" i="18"/>
  <c r="I32" i="18" s="1"/>
  <c r="J32" i="18" s="1"/>
  <c r="S33" i="18"/>
  <c r="T33" i="18"/>
  <c r="L33" i="18" s="1"/>
  <c r="I33" i="18" s="1"/>
  <c r="S34" i="18"/>
  <c r="T34" i="18"/>
  <c r="L34" i="18"/>
  <c r="I34" i="18"/>
  <c r="J34" i="18" s="1"/>
  <c r="L35" i="18"/>
  <c r="I35" i="18" s="1"/>
  <c r="S36" i="18"/>
  <c r="T36" i="18"/>
  <c r="L36" i="18" s="1"/>
  <c r="I36" i="18" s="1"/>
  <c r="S37" i="18"/>
  <c r="T37" i="18"/>
  <c r="L37" i="18" s="1"/>
  <c r="I37" i="18" s="1"/>
  <c r="J37" i="18" s="1"/>
  <c r="L38" i="18"/>
  <c r="I38" i="18"/>
  <c r="S39" i="18"/>
  <c r="T39" i="18"/>
  <c r="L39" i="18"/>
  <c r="I39" i="18" s="1"/>
  <c r="J39" i="18" s="1"/>
  <c r="S40" i="18"/>
  <c r="T40" i="18"/>
  <c r="L40" i="18" s="1"/>
  <c r="I40" i="18" s="1"/>
  <c r="J40" i="18" s="1"/>
  <c r="L41" i="18"/>
  <c r="I41" i="18"/>
  <c r="J41" i="18" s="1"/>
  <c r="S42" i="18"/>
  <c r="T42" i="18" s="1"/>
  <c r="L42" i="18"/>
  <c r="I42" i="18"/>
  <c r="J42" i="18" s="1"/>
  <c r="S43" i="18"/>
  <c r="T43" i="18" s="1"/>
  <c r="L43" i="18"/>
  <c r="I43" i="18" s="1"/>
  <c r="J43" i="18" s="1"/>
  <c r="L44" i="18"/>
  <c r="I44" i="18"/>
  <c r="J44" i="18" s="1"/>
  <c r="S46" i="18"/>
  <c r="T46" i="18" s="1"/>
  <c r="L46" i="18" s="1"/>
  <c r="I46" i="18" s="1"/>
  <c r="L47" i="18"/>
  <c r="I47" i="18"/>
  <c r="S49" i="18"/>
  <c r="T49" i="18"/>
  <c r="L49" i="18"/>
  <c r="I49" i="18" s="1"/>
  <c r="L50" i="18"/>
  <c r="I50" i="18"/>
  <c r="S51" i="18"/>
  <c r="T51" i="18"/>
  <c r="L51" i="18" s="1"/>
  <c r="I51" i="18" s="1"/>
  <c r="J51" i="18" s="1"/>
  <c r="S52" i="18"/>
  <c r="T52" i="18"/>
  <c r="L52" i="18" s="1"/>
  <c r="L53" i="18"/>
  <c r="I53" i="18" s="1"/>
  <c r="J53" i="18" s="1"/>
  <c r="S54" i="18"/>
  <c r="T54" i="18"/>
  <c r="L54" i="18"/>
  <c r="I54" i="18" s="1"/>
  <c r="S55" i="18"/>
  <c r="T55" i="18"/>
  <c r="L55" i="18"/>
  <c r="I55" i="18" s="1"/>
  <c r="L56" i="18"/>
  <c r="I56" i="18"/>
  <c r="S57" i="18"/>
  <c r="T57" i="18" s="1"/>
  <c r="L57" i="18" s="1"/>
  <c r="I57" i="18"/>
  <c r="S58" i="18"/>
  <c r="T58" i="18"/>
  <c r="L58" i="18"/>
  <c r="I58" i="18" s="1"/>
  <c r="J58" i="18" s="1"/>
  <c r="L59" i="18"/>
  <c r="I59" i="18"/>
  <c r="J59" i="18" s="1"/>
  <c r="S61" i="18"/>
  <c r="T61" i="18"/>
  <c r="L61" i="18" s="1"/>
  <c r="I61" i="18" s="1"/>
  <c r="J61" i="18" s="1"/>
  <c r="L62" i="18"/>
  <c r="I62" i="18" s="1"/>
  <c r="J62" i="18" s="1"/>
  <c r="S63" i="18"/>
  <c r="T63" i="18" s="1"/>
  <c r="L63" i="18" s="1"/>
  <c r="I63" i="18" s="1"/>
  <c r="J63" i="18" s="1"/>
  <c r="S64" i="18"/>
  <c r="T64" i="18" s="1"/>
  <c r="L64" i="18" s="1"/>
  <c r="I64" i="18" s="1"/>
  <c r="J64" i="18" s="1"/>
  <c r="L65" i="18"/>
  <c r="I65" i="18" s="1"/>
  <c r="J65" i="18" s="1"/>
  <c r="S67" i="18"/>
  <c r="T67" i="18" s="1"/>
  <c r="L67" i="18" s="1"/>
  <c r="I67" i="18" s="1"/>
  <c r="J67" i="18" s="1"/>
  <c r="S68" i="18"/>
  <c r="T68" i="18"/>
  <c r="L68" i="18"/>
  <c r="I68" i="18" s="1"/>
  <c r="J68" i="18" s="1"/>
  <c r="L69" i="18"/>
  <c r="I69" i="18"/>
  <c r="S70" i="18"/>
  <c r="T70" i="18"/>
  <c r="L70" i="18"/>
  <c r="I70" i="18" s="1"/>
  <c r="J70" i="18" s="1"/>
  <c r="S71" i="18"/>
  <c r="T71" i="18"/>
  <c r="L71" i="18" s="1"/>
  <c r="I71" i="18" s="1"/>
  <c r="J71" i="18" s="1"/>
  <c r="L72" i="18"/>
  <c r="I72" i="18" s="1"/>
  <c r="J72" i="18" s="1"/>
  <c r="S74" i="18"/>
  <c r="T74" i="18"/>
  <c r="L74" i="18"/>
  <c r="I74" i="18" s="1"/>
  <c r="J74" i="18" s="1"/>
  <c r="L75" i="18"/>
  <c r="I75" i="18"/>
  <c r="J75" i="18" s="1"/>
  <c r="S76" i="18"/>
  <c r="T76" i="18" s="1"/>
  <c r="L76" i="18"/>
  <c r="I76" i="18" s="1"/>
  <c r="J76" i="18" s="1"/>
  <c r="S77" i="18"/>
  <c r="T77" i="18"/>
  <c r="L77" i="18" s="1"/>
  <c r="I77" i="18" s="1"/>
  <c r="J77" i="18" s="1"/>
  <c r="L78" i="18"/>
  <c r="I78" i="18" s="1"/>
  <c r="J78" i="18" s="1"/>
  <c r="S80" i="18"/>
  <c r="T80" i="18"/>
  <c r="L80" i="18" s="1"/>
  <c r="I80" i="18"/>
  <c r="J80" i="18" s="1"/>
  <c r="L81" i="18"/>
  <c r="I81" i="18" s="1"/>
  <c r="J81" i="18" s="1"/>
  <c r="S82" i="18"/>
  <c r="T82" i="18" s="1"/>
  <c r="L82" i="18" s="1"/>
  <c r="I82" i="18" s="1"/>
  <c r="S83" i="18"/>
  <c r="T83" i="18" s="1"/>
  <c r="L83" i="18"/>
  <c r="I83" i="18" s="1"/>
  <c r="L84" i="18"/>
  <c r="I84" i="18" s="1"/>
  <c r="S85" i="18"/>
  <c r="T85" i="18"/>
  <c r="L85" i="18" s="1"/>
  <c r="I85" i="18" s="1"/>
  <c r="J85" i="18" s="1"/>
  <c r="S86" i="18"/>
  <c r="T86" i="18"/>
  <c r="L86" i="18"/>
  <c r="I86" i="18" s="1"/>
  <c r="J86" i="18" s="1"/>
  <c r="L87" i="18"/>
  <c r="I87" i="18"/>
  <c r="J87" i="18" s="1"/>
  <c r="S88" i="18"/>
  <c r="T88" i="18" s="1"/>
  <c r="L88" i="18" s="1"/>
  <c r="I88" i="18" s="1"/>
  <c r="J88" i="18" s="1"/>
  <c r="S89" i="18"/>
  <c r="T89" i="18"/>
  <c r="L89" i="18"/>
  <c r="I89" i="18" s="1"/>
  <c r="J89" i="18" s="1"/>
  <c r="L90" i="18"/>
  <c r="I90" i="18" s="1"/>
  <c r="J90" i="18" s="1"/>
  <c r="S91" i="18"/>
  <c r="T91" i="18" s="1"/>
  <c r="L91" i="18"/>
  <c r="I91" i="18" s="1"/>
  <c r="S92" i="18"/>
  <c r="T92" i="18"/>
  <c r="L92" i="18" s="1"/>
  <c r="I92" i="18" s="1"/>
  <c r="J92" i="18" s="1"/>
  <c r="L93" i="18"/>
  <c r="I93" i="18"/>
  <c r="S94" i="18"/>
  <c r="T94" i="18" s="1"/>
  <c r="L94" i="18"/>
  <c r="I94" i="18"/>
  <c r="J94" i="18" s="1"/>
  <c r="S95" i="18"/>
  <c r="T95" i="18"/>
  <c r="L95" i="18" s="1"/>
  <c r="I95" i="18"/>
  <c r="L96" i="18"/>
  <c r="I96" i="18"/>
  <c r="J96" i="18" s="1"/>
  <c r="S97" i="18"/>
  <c r="T97" i="18"/>
  <c r="L97" i="18" s="1"/>
  <c r="I97" i="18"/>
  <c r="S98" i="18"/>
  <c r="T98" i="18"/>
  <c r="L98" i="18"/>
  <c r="I98" i="18" s="1"/>
  <c r="J98" i="18" s="1"/>
  <c r="L99" i="18"/>
  <c r="I99" i="18" s="1"/>
  <c r="S100" i="18"/>
  <c r="T100" i="18"/>
  <c r="L100" i="18" s="1"/>
  <c r="I100" i="18" s="1"/>
  <c r="J100" i="18" s="1"/>
  <c r="S101" i="18"/>
  <c r="T101" i="18" s="1"/>
  <c r="L101" i="18" s="1"/>
  <c r="I101" i="18"/>
  <c r="L102" i="18"/>
  <c r="I102" i="18" s="1"/>
  <c r="S104" i="18"/>
  <c r="T104" i="18" s="1"/>
  <c r="L104" i="18" s="1"/>
  <c r="I104" i="18"/>
  <c r="J104" i="18" s="1"/>
  <c r="L105" i="18"/>
  <c r="I105" i="18"/>
  <c r="J105" i="18" s="1"/>
  <c r="S106" i="18"/>
  <c r="T106" i="18" s="1"/>
  <c r="L106" i="18" s="1"/>
  <c r="I106" i="18" s="1"/>
  <c r="J106" i="18" s="1"/>
  <c r="S107" i="18"/>
  <c r="T107" i="18"/>
  <c r="L107" i="18"/>
  <c r="I107" i="18"/>
  <c r="J107" i="18" s="1"/>
  <c r="L108" i="18"/>
  <c r="I108" i="18"/>
  <c r="J108" i="18" s="1"/>
  <c r="S110" i="18"/>
  <c r="T110" i="18" s="1"/>
  <c r="L110" i="18"/>
  <c r="I110" i="18"/>
  <c r="L111" i="18"/>
  <c r="I111" i="18" s="1"/>
  <c r="S113" i="18"/>
  <c r="T113" i="18" s="1"/>
  <c r="L113" i="18" s="1"/>
  <c r="I113" i="18"/>
  <c r="J113" i="18" s="1"/>
  <c r="L114" i="18"/>
  <c r="I114" i="18" s="1"/>
  <c r="J114" i="18" s="1"/>
  <c r="S116" i="18"/>
  <c r="T116" i="18" s="1"/>
  <c r="L116" i="18"/>
  <c r="I116" i="18" s="1"/>
  <c r="L117" i="18"/>
  <c r="I117" i="18"/>
  <c r="J117" i="18" s="1"/>
  <c r="S118" i="18"/>
  <c r="T118" i="18"/>
  <c r="L118" i="18" s="1"/>
  <c r="I118" i="18" s="1"/>
  <c r="J118" i="18" s="1"/>
  <c r="S119" i="18"/>
  <c r="T119" i="18"/>
  <c r="L119" i="18" s="1"/>
  <c r="I119" i="18" s="1"/>
  <c r="J119" i="18" s="1"/>
  <c r="L120" i="18"/>
  <c r="I120" i="18" s="1"/>
  <c r="J120" i="18" s="1"/>
  <c r="S122" i="18"/>
  <c r="T122" i="18" s="1"/>
  <c r="L122" i="18"/>
  <c r="I122" i="18"/>
  <c r="J122" i="18" s="1"/>
  <c r="L123" i="18"/>
  <c r="I123" i="18" s="1"/>
  <c r="J123" i="18" s="1"/>
  <c r="S124" i="18"/>
  <c r="T124" i="18" s="1"/>
  <c r="L124" i="18" s="1"/>
  <c r="I124" i="18"/>
  <c r="S125" i="18"/>
  <c r="T125" i="18" s="1"/>
  <c r="L125" i="18" s="1"/>
  <c r="I125" i="18" s="1"/>
  <c r="J125" i="18" s="1"/>
  <c r="L126" i="18"/>
  <c r="I126" i="18"/>
  <c r="S127" i="18"/>
  <c r="T127" i="18"/>
  <c r="L127" i="18"/>
  <c r="I127" i="18" s="1"/>
  <c r="J127" i="18" s="1"/>
  <c r="S128" i="18"/>
  <c r="T128" i="18"/>
  <c r="L128" i="18" s="1"/>
  <c r="I128" i="18" s="1"/>
  <c r="J128" i="18" s="1"/>
  <c r="L129" i="18"/>
  <c r="I129" i="18"/>
  <c r="J129" i="18" s="1"/>
  <c r="S130" i="18"/>
  <c r="T130" i="18"/>
  <c r="L130" i="18" s="1"/>
  <c r="I130" i="18" s="1"/>
  <c r="J130" i="18" s="1"/>
  <c r="S131" i="18"/>
  <c r="T131" i="18" s="1"/>
  <c r="L131" i="18" s="1"/>
  <c r="I131" i="18" s="1"/>
  <c r="J131" i="18" s="1"/>
  <c r="L132" i="18"/>
  <c r="I132" i="18" s="1"/>
  <c r="J132" i="18" s="1"/>
  <c r="S133" i="18"/>
  <c r="T133" i="18"/>
  <c r="L133" i="18" s="1"/>
  <c r="I133" i="18" s="1"/>
  <c r="J133" i="18" s="1"/>
  <c r="S134" i="18"/>
  <c r="T134" i="18"/>
  <c r="L134" i="18"/>
  <c r="I134" i="18" s="1"/>
  <c r="J134" i="18" s="1"/>
  <c r="L135" i="18"/>
  <c r="I135" i="18"/>
  <c r="J135" i="18" s="1"/>
  <c r="S136" i="18"/>
  <c r="T136" i="18"/>
  <c r="L136" i="18" s="1"/>
  <c r="I136" i="18" s="1"/>
  <c r="J136" i="18" s="1"/>
  <c r="S137" i="18"/>
  <c r="T137" i="18"/>
  <c r="L137" i="18"/>
  <c r="I137" i="18"/>
  <c r="J137" i="18" s="1"/>
  <c r="L138" i="18"/>
  <c r="I138" i="18"/>
  <c r="J138" i="18" s="1"/>
  <c r="S139" i="18"/>
  <c r="T139" i="18" s="1"/>
  <c r="L139" i="18" s="1"/>
  <c r="I139" i="18" s="1"/>
  <c r="M62" i="20" s="1"/>
  <c r="S140" i="18"/>
  <c r="T140" i="18"/>
  <c r="L140" i="18"/>
  <c r="I140" i="18" s="1"/>
  <c r="J140" i="18" s="1"/>
  <c r="L141" i="18"/>
  <c r="I141" i="18" s="1"/>
  <c r="S142" i="18"/>
  <c r="T142" i="18"/>
  <c r="L142" i="18" s="1"/>
  <c r="I142" i="18" s="1"/>
  <c r="S143" i="18"/>
  <c r="T143" i="18" s="1"/>
  <c r="L143" i="18" s="1"/>
  <c r="I143" i="18"/>
  <c r="J143" i="18" s="1"/>
  <c r="L144" i="18"/>
  <c r="I144" i="18" s="1"/>
  <c r="J144" i="18" s="1"/>
  <c r="S146" i="18"/>
  <c r="T146" i="18"/>
  <c r="L146" i="18" s="1"/>
  <c r="I146" i="18" s="1"/>
  <c r="J146" i="18" s="1"/>
  <c r="S147" i="18"/>
  <c r="T147" i="18" s="1"/>
  <c r="L147" i="18" s="1"/>
  <c r="I147" i="18" s="1"/>
  <c r="J147" i="18" s="1"/>
  <c r="L148" i="18"/>
  <c r="I148" i="18" s="1"/>
  <c r="J148" i="18" s="1"/>
  <c r="S149" i="18"/>
  <c r="T149" i="18" s="1"/>
  <c r="L149" i="18"/>
  <c r="I149" i="18" s="1"/>
  <c r="J149" i="18" s="1"/>
  <c r="S150" i="18"/>
  <c r="T150" i="18" s="1"/>
  <c r="L150" i="18"/>
  <c r="I150" i="18"/>
  <c r="J150" i="18" s="1"/>
  <c r="L151" i="18"/>
  <c r="I151" i="18" s="1"/>
  <c r="J151" i="18" s="1"/>
  <c r="S152" i="18"/>
  <c r="T152" i="18"/>
  <c r="L152" i="18" s="1"/>
  <c r="I152" i="18" s="1"/>
  <c r="S153" i="18"/>
  <c r="T153" i="18"/>
  <c r="L153" i="18" s="1"/>
  <c r="I153" i="18" s="1"/>
  <c r="J153" i="18" s="1"/>
  <c r="L154" i="18"/>
  <c r="I154" i="18"/>
  <c r="I18" i="18"/>
  <c r="J18" i="18" s="1"/>
  <c r="J154" i="18"/>
  <c r="J141" i="18"/>
  <c r="J139" i="18"/>
  <c r="J126" i="18"/>
  <c r="J124" i="18"/>
  <c r="J116" i="18"/>
  <c r="J112" i="18"/>
  <c r="J111" i="18"/>
  <c r="J110" i="18"/>
  <c r="J102" i="18"/>
  <c r="J101" i="18"/>
  <c r="J99" i="18"/>
  <c r="J97" i="18"/>
  <c r="J95" i="18"/>
  <c r="J93" i="18"/>
  <c r="J84" i="18"/>
  <c r="J83" i="18"/>
  <c r="J82" i="18"/>
  <c r="J69" i="18"/>
  <c r="J57" i="18"/>
  <c r="J56" i="18"/>
  <c r="J55" i="18"/>
  <c r="J54" i="18"/>
  <c r="J50" i="18"/>
  <c r="J49" i="18"/>
  <c r="J47" i="18"/>
  <c r="J46" i="18"/>
  <c r="J45" i="18"/>
  <c r="J38" i="18"/>
  <c r="J36" i="18"/>
  <c r="J35" i="18"/>
  <c r="J33" i="18"/>
  <c r="J31" i="18"/>
  <c r="J26" i="18"/>
  <c r="J21" i="18"/>
  <c r="C10" i="17"/>
  <c r="H585" i="17" s="1"/>
  <c r="I585" i="17" s="1"/>
  <c r="H306" i="17"/>
  <c r="I306" i="17"/>
  <c r="H305" i="17"/>
  <c r="I305" i="17" s="1"/>
  <c r="H303" i="17"/>
  <c r="I303" i="17"/>
  <c r="H301" i="17"/>
  <c r="I301" i="17" s="1"/>
  <c r="H296" i="17"/>
  <c r="I296" i="17" s="1"/>
  <c r="H294" i="17"/>
  <c r="I294" i="17" s="1"/>
  <c r="H293" i="17"/>
  <c r="I293" i="17" s="1"/>
  <c r="H289" i="17"/>
  <c r="I289" i="17" s="1"/>
  <c r="H288" i="17"/>
  <c r="I288" i="17" s="1"/>
  <c r="H287" i="17"/>
  <c r="I287" i="17"/>
  <c r="H284" i="17"/>
  <c r="I284" i="17" s="1"/>
  <c r="H282" i="17"/>
  <c r="I282" i="17" s="1"/>
  <c r="H281" i="17"/>
  <c r="I281" i="17" s="1"/>
  <c r="H280" i="17"/>
  <c r="I280" i="17" s="1"/>
  <c r="H275" i="17"/>
  <c r="I275" i="17" s="1"/>
  <c r="H274" i="17"/>
  <c r="I274" i="17" s="1"/>
  <c r="H270" i="17"/>
  <c r="I270" i="17" s="1"/>
  <c r="H267" i="17"/>
  <c r="I267" i="17" s="1"/>
  <c r="F47" i="23"/>
  <c r="F50" i="23"/>
  <c r="F53" i="23"/>
  <c r="D12" i="8"/>
  <c r="H7" i="16"/>
  <c r="I7" i="16"/>
  <c r="H8" i="16"/>
  <c r="I8" i="16"/>
  <c r="H9" i="16"/>
  <c r="I9" i="16" s="1"/>
  <c r="H10" i="16"/>
  <c r="I10" i="16"/>
  <c r="H11" i="16"/>
  <c r="I11" i="16" s="1"/>
  <c r="H12" i="16"/>
  <c r="I12" i="16"/>
  <c r="H13" i="16"/>
  <c r="I13" i="16"/>
  <c r="H14" i="16"/>
  <c r="I14" i="16"/>
  <c r="H15" i="16"/>
  <c r="I15" i="16" s="1"/>
  <c r="H16" i="16"/>
  <c r="I16" i="16" s="1"/>
  <c r="H17" i="16"/>
  <c r="I17" i="16" s="1"/>
  <c r="H18" i="16"/>
  <c r="I18" i="16" s="1"/>
  <c r="H19" i="16"/>
  <c r="I19" i="16" s="1"/>
  <c r="H20" i="16"/>
  <c r="I20" i="16"/>
  <c r="H21" i="16"/>
  <c r="I21" i="16"/>
  <c r="H22" i="16"/>
  <c r="I22" i="16" s="1"/>
  <c r="H23" i="16"/>
  <c r="I23" i="16"/>
  <c r="H24" i="16"/>
  <c r="I24" i="16" s="1"/>
  <c r="H25" i="16"/>
  <c r="I25" i="16" s="1"/>
  <c r="H26" i="16"/>
  <c r="I26" i="16"/>
  <c r="H27" i="16"/>
  <c r="I27" i="16"/>
  <c r="H28" i="16"/>
  <c r="I28" i="16" s="1"/>
  <c r="H29" i="16"/>
  <c r="I29" i="16" s="1"/>
  <c r="H30" i="16"/>
  <c r="I30" i="16" s="1"/>
  <c r="H31" i="16"/>
  <c r="I31" i="16" s="1"/>
  <c r="H32" i="16"/>
  <c r="I32" i="16"/>
  <c r="H33" i="16"/>
  <c r="I33" i="16" s="1"/>
  <c r="H34" i="16"/>
  <c r="I34" i="16" s="1"/>
  <c r="H35" i="16"/>
  <c r="I35" i="16" s="1"/>
  <c r="H36" i="16"/>
  <c r="I36" i="16"/>
  <c r="H37" i="16"/>
  <c r="I37" i="16"/>
  <c r="H6" i="16"/>
  <c r="I6" i="16" s="1"/>
  <c r="D13" i="8"/>
  <c r="J40" i="22"/>
  <c r="J43" i="22"/>
  <c r="J46" i="22"/>
  <c r="J49" i="22"/>
  <c r="J55" i="22"/>
  <c r="J58" i="22"/>
  <c r="J61" i="22"/>
  <c r="J69" i="22"/>
  <c r="J74" i="22"/>
  <c r="J79" i="22"/>
  <c r="J84" i="22"/>
  <c r="J94" i="22"/>
  <c r="D14" i="8"/>
  <c r="J42" i="23"/>
  <c r="J43" i="23"/>
  <c r="J46" i="23"/>
  <c r="J49" i="23"/>
  <c r="J50" i="23"/>
  <c r="J51" i="23"/>
  <c r="J52" i="23"/>
  <c r="J53" i="23"/>
  <c r="J54" i="23"/>
  <c r="J55" i="23"/>
  <c r="J56" i="23"/>
  <c r="J57" i="23"/>
  <c r="J58" i="23"/>
  <c r="J59" i="23"/>
  <c r="J60" i="23"/>
  <c r="J61" i="23"/>
  <c r="J62" i="23"/>
  <c r="J63" i="23"/>
  <c r="J64" i="23"/>
  <c r="J65" i="23"/>
  <c r="J66" i="23"/>
  <c r="J67" i="23"/>
  <c r="J68" i="23"/>
  <c r="J71" i="23"/>
  <c r="J73" i="23"/>
  <c r="J74" i="23"/>
  <c r="J77" i="23"/>
  <c r="J80" i="23"/>
  <c r="J83" i="23"/>
  <c r="J84" i="23"/>
  <c r="J85" i="23"/>
  <c r="J86" i="23"/>
  <c r="J87" i="23"/>
  <c r="J88" i="23"/>
  <c r="J89" i="23"/>
  <c r="J90" i="23"/>
  <c r="J91" i="23"/>
  <c r="J92" i="23"/>
  <c r="J93" i="23"/>
  <c r="J94" i="23"/>
  <c r="J95" i="23"/>
  <c r="J96" i="23"/>
  <c r="J97" i="23"/>
  <c r="J98" i="23"/>
  <c r="J99" i="23"/>
  <c r="J100" i="23"/>
  <c r="J101" i="23"/>
  <c r="J102" i="23"/>
  <c r="J107" i="23"/>
  <c r="J112" i="23"/>
  <c r="J117" i="23"/>
  <c r="J118" i="23"/>
  <c r="J119" i="23"/>
  <c r="J120" i="23"/>
  <c r="J121" i="23"/>
  <c r="J122" i="23"/>
  <c r="J123" i="23"/>
  <c r="J124" i="23"/>
  <c r="J125" i="23"/>
  <c r="J126" i="23"/>
  <c r="J127" i="23"/>
  <c r="J128" i="23"/>
  <c r="J129" i="23"/>
  <c r="J132" i="23"/>
  <c r="J133" i="23"/>
  <c r="J136" i="23"/>
  <c r="J137" i="23"/>
  <c r="J140" i="23"/>
  <c r="J141" i="23"/>
  <c r="J144" i="23"/>
  <c r="D15" i="8"/>
  <c r="X17" i="20"/>
  <c r="U17" i="20" s="1"/>
  <c r="V17" i="20" s="1"/>
  <c r="X18" i="20"/>
  <c r="U18" i="20"/>
  <c r="V18" i="20" s="1"/>
  <c r="X19" i="20"/>
  <c r="U19" i="20" s="1"/>
  <c r="V19" i="20" s="1"/>
  <c r="X20" i="20"/>
  <c r="U20" i="20"/>
  <c r="V20" i="20" s="1"/>
  <c r="X21" i="20"/>
  <c r="U21" i="20" s="1"/>
  <c r="V21" i="20" s="1"/>
  <c r="X22" i="20"/>
  <c r="U22" i="20"/>
  <c r="V22" i="20" s="1"/>
  <c r="X23" i="20"/>
  <c r="U23" i="20"/>
  <c r="V23" i="20"/>
  <c r="X24" i="20"/>
  <c r="U24" i="20" s="1"/>
  <c r="V24" i="20" s="1"/>
  <c r="X27" i="20"/>
  <c r="U27" i="20" s="1"/>
  <c r="V27" i="20" s="1"/>
  <c r="X28" i="20"/>
  <c r="U28" i="20"/>
  <c r="V28" i="20"/>
  <c r="X29" i="20"/>
  <c r="U29" i="20" s="1"/>
  <c r="V29" i="20"/>
  <c r="X30" i="20"/>
  <c r="U30" i="20"/>
  <c r="V30" i="20"/>
  <c r="X31" i="20"/>
  <c r="U31" i="20"/>
  <c r="V31" i="20" s="1"/>
  <c r="X32" i="20"/>
  <c r="U32" i="20"/>
  <c r="V32" i="20" s="1"/>
  <c r="X33" i="20"/>
  <c r="U33" i="20"/>
  <c r="V33" i="20" s="1"/>
  <c r="X36" i="20"/>
  <c r="U36" i="20"/>
  <c r="V36" i="20"/>
  <c r="X37" i="20"/>
  <c r="U37" i="20"/>
  <c r="V37" i="20" s="1"/>
  <c r="X38" i="20"/>
  <c r="U38" i="20" s="1"/>
  <c r="V38" i="20" s="1"/>
  <c r="X39" i="20"/>
  <c r="U39" i="20"/>
  <c r="V39" i="20"/>
  <c r="X40" i="20"/>
  <c r="U40" i="20"/>
  <c r="V40" i="20" s="1"/>
  <c r="X42" i="20"/>
  <c r="U42" i="20" s="1"/>
  <c r="V42" i="20" s="1"/>
  <c r="X43" i="20"/>
  <c r="U43" i="20"/>
  <c r="V43" i="20" s="1"/>
  <c r="X44" i="20"/>
  <c r="U44" i="20" s="1"/>
  <c r="V44" i="20" s="1"/>
  <c r="X45" i="20"/>
  <c r="U45" i="20" s="1"/>
  <c r="V45" i="20"/>
  <c r="X46" i="20"/>
  <c r="U46" i="20" s="1"/>
  <c r="V46" i="20" s="1"/>
  <c r="X47" i="20"/>
  <c r="U47" i="20" s="1"/>
  <c r="V47" i="20" s="1"/>
  <c r="X48" i="20"/>
  <c r="U48" i="20" s="1"/>
  <c r="V48" i="20" s="1"/>
  <c r="X50" i="20"/>
  <c r="U50" i="20" s="1"/>
  <c r="V50" i="20"/>
  <c r="X54" i="20"/>
  <c r="U54" i="20" s="1"/>
  <c r="V54" i="20" s="1"/>
  <c r="X55" i="20"/>
  <c r="U55" i="20"/>
  <c r="V55" i="20" s="1"/>
  <c r="X56" i="20"/>
  <c r="U56" i="20" s="1"/>
  <c r="V56" i="20" s="1"/>
  <c r="X57" i="20"/>
  <c r="U57" i="20" s="1"/>
  <c r="V57" i="20" s="1"/>
  <c r="X58" i="20"/>
  <c r="U58" i="20"/>
  <c r="V58" i="20"/>
  <c r="X61" i="20"/>
  <c r="U61" i="20" s="1"/>
  <c r="V61" i="20"/>
  <c r="X62" i="20"/>
  <c r="U62" i="20"/>
  <c r="V62" i="20" s="1"/>
  <c r="X63" i="20"/>
  <c r="U63" i="20" s="1"/>
  <c r="V63" i="20" s="1"/>
  <c r="X64" i="20"/>
  <c r="U64" i="20" s="1"/>
  <c r="V64" i="20" s="1"/>
  <c r="X65" i="20"/>
  <c r="U65" i="20"/>
  <c r="V65" i="20" s="1"/>
  <c r="X69" i="20"/>
  <c r="U69" i="20" s="1"/>
  <c r="V69" i="20" s="1"/>
  <c r="X70" i="20"/>
  <c r="U70" i="20"/>
  <c r="V70" i="20"/>
  <c r="X71" i="20"/>
  <c r="U71" i="20"/>
  <c r="V71" i="20" s="1"/>
  <c r="X73" i="20"/>
  <c r="U73" i="20"/>
  <c r="V73" i="20" s="1"/>
  <c r="X16" i="20"/>
  <c r="U16" i="20"/>
  <c r="V16" i="20" s="1"/>
  <c r="I19" i="20"/>
  <c r="I23" i="20"/>
  <c r="I40" i="20"/>
  <c r="I73" i="20"/>
  <c r="I16" i="20"/>
  <c r="D16" i="8"/>
  <c r="I330" i="15"/>
  <c r="I354" i="15"/>
  <c r="H355" i="15"/>
  <c r="I355" i="15" s="1"/>
  <c r="I574" i="15"/>
  <c r="H575" i="15"/>
  <c r="I575" i="15" s="1"/>
  <c r="H576" i="15"/>
  <c r="I576" i="15" s="1"/>
  <c r="D17" i="8"/>
  <c r="K22" i="17"/>
  <c r="H22" i="17"/>
  <c r="I22" i="17"/>
  <c r="K23" i="17"/>
  <c r="H23" i="17"/>
  <c r="I23" i="17" s="1"/>
  <c r="K24" i="17"/>
  <c r="H24" i="17"/>
  <c r="I24" i="17" s="1"/>
  <c r="K25" i="17"/>
  <c r="H25" i="17"/>
  <c r="I25" i="17" s="1"/>
  <c r="K26" i="17"/>
  <c r="H26" i="17"/>
  <c r="I26" i="17" s="1"/>
  <c r="K27" i="17"/>
  <c r="H27" i="17"/>
  <c r="I27" i="17" s="1"/>
  <c r="K28" i="17"/>
  <c r="H28" i="17"/>
  <c r="I28" i="17"/>
  <c r="K29" i="17"/>
  <c r="H29" i="17"/>
  <c r="I29" i="17" s="1"/>
  <c r="K30" i="17"/>
  <c r="H30" i="17" s="1"/>
  <c r="I30" i="17" s="1"/>
  <c r="K31" i="17"/>
  <c r="H31" i="17" s="1"/>
  <c r="I31" i="17" s="1"/>
  <c r="K32" i="17"/>
  <c r="H32" i="17" s="1"/>
  <c r="I32" i="17" s="1"/>
  <c r="K33" i="17"/>
  <c r="H33" i="17" s="1"/>
  <c r="I33" i="17" s="1"/>
  <c r="K34" i="17"/>
  <c r="H34" i="17" s="1"/>
  <c r="I34" i="17" s="1"/>
  <c r="K35" i="17"/>
  <c r="H35" i="17" s="1"/>
  <c r="I35" i="17" s="1"/>
  <c r="K36" i="17"/>
  <c r="H36" i="17" s="1"/>
  <c r="I36" i="17" s="1"/>
  <c r="K37" i="17"/>
  <c r="H37" i="17" s="1"/>
  <c r="I37" i="17"/>
  <c r="K38" i="17"/>
  <c r="H38" i="17" s="1"/>
  <c r="I38" i="17" s="1"/>
  <c r="K39" i="17"/>
  <c r="H39" i="17" s="1"/>
  <c r="I39" i="17"/>
  <c r="K40" i="17"/>
  <c r="H40" i="17"/>
  <c r="I40" i="17" s="1"/>
  <c r="K41" i="17"/>
  <c r="H41" i="17"/>
  <c r="I41" i="17" s="1"/>
  <c r="K42" i="17"/>
  <c r="H42" i="17" s="1"/>
  <c r="I42" i="17" s="1"/>
  <c r="K43" i="17"/>
  <c r="H43" i="17" s="1"/>
  <c r="I43" i="17" s="1"/>
  <c r="K44" i="17"/>
  <c r="H44" i="17"/>
  <c r="I44" i="17"/>
  <c r="K45" i="17"/>
  <c r="H45" i="17" s="1"/>
  <c r="I45" i="17" s="1"/>
  <c r="K46" i="17"/>
  <c r="H46" i="17" s="1"/>
  <c r="I46" i="17" s="1"/>
  <c r="K47" i="17"/>
  <c r="H47" i="17" s="1"/>
  <c r="I47" i="17" s="1"/>
  <c r="K48" i="17"/>
  <c r="H48" i="17" s="1"/>
  <c r="I48" i="17" s="1"/>
  <c r="K49" i="17"/>
  <c r="H49" i="17" s="1"/>
  <c r="I49" i="17" s="1"/>
  <c r="K50" i="17"/>
  <c r="H50" i="17"/>
  <c r="I50" i="17"/>
  <c r="K51" i="17"/>
  <c r="H51" i="17"/>
  <c r="I51" i="17"/>
  <c r="K52" i="17"/>
  <c r="H52" i="17"/>
  <c r="I52" i="17" s="1"/>
  <c r="K53" i="17"/>
  <c r="H53" i="17"/>
  <c r="I53" i="17" s="1"/>
  <c r="K54" i="17"/>
  <c r="H54" i="17" s="1"/>
  <c r="I54" i="17" s="1"/>
  <c r="K55" i="17"/>
  <c r="H55" i="17" s="1"/>
  <c r="I55" i="17" s="1"/>
  <c r="K56" i="17"/>
  <c r="H56" i="17"/>
  <c r="I56" i="17" s="1"/>
  <c r="K57" i="17"/>
  <c r="H57" i="17"/>
  <c r="I57" i="17"/>
  <c r="K58" i="17"/>
  <c r="H58" i="17"/>
  <c r="I58" i="17" s="1"/>
  <c r="K59" i="17"/>
  <c r="H59" i="17" s="1"/>
  <c r="I59" i="17"/>
  <c r="K60" i="17"/>
  <c r="H60" i="17"/>
  <c r="I60" i="17" s="1"/>
  <c r="K61" i="17"/>
  <c r="H61" i="17" s="1"/>
  <c r="I61" i="17"/>
  <c r="K62" i="17"/>
  <c r="H62" i="17" s="1"/>
  <c r="I62" i="17" s="1"/>
  <c r="K63" i="17"/>
  <c r="H63" i="17"/>
  <c r="I63" i="17"/>
  <c r="K64" i="17"/>
  <c r="H64" i="17" s="1"/>
  <c r="I64" i="17"/>
  <c r="K65" i="17"/>
  <c r="H65" i="17"/>
  <c r="I65" i="17" s="1"/>
  <c r="K66" i="17"/>
  <c r="H66" i="17" s="1"/>
  <c r="I66" i="17" s="1"/>
  <c r="K67" i="17"/>
  <c r="H67" i="17"/>
  <c r="I67" i="17" s="1"/>
  <c r="K68" i="17"/>
  <c r="H68" i="17" s="1"/>
  <c r="I68" i="17" s="1"/>
  <c r="K69" i="17"/>
  <c r="H69" i="17"/>
  <c r="I69" i="17" s="1"/>
  <c r="K70" i="17"/>
  <c r="H70" i="17"/>
  <c r="I70" i="17"/>
  <c r="K71" i="17"/>
  <c r="H71" i="17" s="1"/>
  <c r="I71" i="17" s="1"/>
  <c r="K72" i="17"/>
  <c r="H72" i="17" s="1"/>
  <c r="I72" i="17" s="1"/>
  <c r="K73" i="17"/>
  <c r="H73" i="17" s="1"/>
  <c r="I73" i="17" s="1"/>
  <c r="K74" i="17"/>
  <c r="H74" i="17"/>
  <c r="I74" i="17" s="1"/>
  <c r="K75" i="17"/>
  <c r="H75" i="17" s="1"/>
  <c r="I75" i="17" s="1"/>
  <c r="K76" i="17"/>
  <c r="H76" i="17" s="1"/>
  <c r="I76" i="17" s="1"/>
  <c r="K77" i="17"/>
  <c r="H77" i="17"/>
  <c r="I77" i="17"/>
  <c r="K78" i="17"/>
  <c r="H78" i="17"/>
  <c r="I78" i="17" s="1"/>
  <c r="K79" i="17"/>
  <c r="H79" i="17"/>
  <c r="I79" i="17" s="1"/>
  <c r="K80" i="17"/>
  <c r="H80" i="17"/>
  <c r="I80" i="17" s="1"/>
  <c r="K81" i="17"/>
  <c r="H81" i="17" s="1"/>
  <c r="I81" i="17" s="1"/>
  <c r="K82" i="17"/>
  <c r="H82" i="17"/>
  <c r="I82" i="17" s="1"/>
  <c r="K83" i="17"/>
  <c r="H83" i="17" s="1"/>
  <c r="I83" i="17"/>
  <c r="K84" i="17"/>
  <c r="H84" i="17"/>
  <c r="I84" i="17" s="1"/>
  <c r="K85" i="17"/>
  <c r="H85" i="17"/>
  <c r="I85" i="17" s="1"/>
  <c r="K86" i="17"/>
  <c r="H86" i="17" s="1"/>
  <c r="I86" i="17" s="1"/>
  <c r="K87" i="17"/>
  <c r="H87" i="17" s="1"/>
  <c r="I87" i="17"/>
  <c r="K88" i="17"/>
  <c r="H88" i="17" s="1"/>
  <c r="I88" i="17" s="1"/>
  <c r="K89" i="17"/>
  <c r="H89" i="17" s="1"/>
  <c r="I89" i="17"/>
  <c r="K90" i="17"/>
  <c r="H90" i="17"/>
  <c r="I90" i="17"/>
  <c r="K91" i="17"/>
  <c r="H91" i="17"/>
  <c r="I91" i="17" s="1"/>
  <c r="K92" i="17"/>
  <c r="H92" i="17"/>
  <c r="I92" i="17" s="1"/>
  <c r="K93" i="17"/>
  <c r="H93" i="17"/>
  <c r="I93" i="17"/>
  <c r="K94" i="17"/>
  <c r="H94" i="17" s="1"/>
  <c r="I94" i="17"/>
  <c r="K95" i="17"/>
  <c r="H95" i="17"/>
  <c r="I95" i="17" s="1"/>
  <c r="K96" i="17"/>
  <c r="H96" i="17" s="1"/>
  <c r="I96" i="17" s="1"/>
  <c r="K97" i="17"/>
  <c r="H97" i="17"/>
  <c r="I97" i="17"/>
  <c r="K98" i="17"/>
  <c r="H98" i="17"/>
  <c r="I98" i="17"/>
  <c r="K99" i="17"/>
  <c r="H99" i="17" s="1"/>
  <c r="I99" i="17"/>
  <c r="K100" i="17"/>
  <c r="H100" i="17" s="1"/>
  <c r="I100" i="17" s="1"/>
  <c r="K101" i="17"/>
  <c r="H101" i="17"/>
  <c r="I101" i="17" s="1"/>
  <c r="K102" i="17"/>
  <c r="H102" i="17"/>
  <c r="I102" i="17"/>
  <c r="K103" i="17"/>
  <c r="H103" i="17" s="1"/>
  <c r="I103" i="17" s="1"/>
  <c r="K104" i="17"/>
  <c r="H104" i="17" s="1"/>
  <c r="I104" i="17" s="1"/>
  <c r="K105" i="17"/>
  <c r="H105" i="17"/>
  <c r="I105" i="17" s="1"/>
  <c r="K106" i="17"/>
  <c r="H106" i="17"/>
  <c r="I106" i="17" s="1"/>
  <c r="K107" i="17"/>
  <c r="H107" i="17"/>
  <c r="I107" i="17"/>
  <c r="K108" i="17"/>
  <c r="H108" i="17"/>
  <c r="I108" i="17" s="1"/>
  <c r="K109" i="17"/>
  <c r="H109" i="17" s="1"/>
  <c r="I109" i="17" s="1"/>
  <c r="K110" i="17"/>
  <c r="H110" i="17" s="1"/>
  <c r="I110" i="17" s="1"/>
  <c r="K111" i="17"/>
  <c r="H111" i="17" s="1"/>
  <c r="I111" i="17" s="1"/>
  <c r="K112" i="17"/>
  <c r="H112" i="17"/>
  <c r="I112" i="17" s="1"/>
  <c r="K113" i="17"/>
  <c r="H113" i="17" s="1"/>
  <c r="I113" i="17" s="1"/>
  <c r="K114" i="17"/>
  <c r="H114" i="17" s="1"/>
  <c r="I114" i="17" s="1"/>
  <c r="K115" i="17"/>
  <c r="H115" i="17" s="1"/>
  <c r="I115" i="17"/>
  <c r="K116" i="17"/>
  <c r="H116" i="17" s="1"/>
  <c r="I116" i="17" s="1"/>
  <c r="K117" i="17"/>
  <c r="H117" i="17"/>
  <c r="I117" i="17"/>
  <c r="K118" i="17"/>
  <c r="H118" i="17"/>
  <c r="I118" i="17"/>
  <c r="K119" i="17"/>
  <c r="H119" i="17"/>
  <c r="I119" i="17"/>
  <c r="K120" i="17"/>
  <c r="H120" i="17" s="1"/>
  <c r="I120" i="17" s="1"/>
  <c r="K121" i="17"/>
  <c r="H121" i="17" s="1"/>
  <c r="I121" i="17" s="1"/>
  <c r="K122" i="17"/>
  <c r="H122" i="17" s="1"/>
  <c r="I122" i="17" s="1"/>
  <c r="K123" i="17"/>
  <c r="H123" i="17"/>
  <c r="I123" i="17" s="1"/>
  <c r="K124" i="17"/>
  <c r="H124" i="17" s="1"/>
  <c r="I124" i="17" s="1"/>
  <c r="K125" i="17"/>
  <c r="H125" i="17" s="1"/>
  <c r="I125" i="17" s="1"/>
  <c r="K126" i="17"/>
  <c r="H126" i="17" s="1"/>
  <c r="I126" i="17" s="1"/>
  <c r="K127" i="17"/>
  <c r="H127" i="17" s="1"/>
  <c r="I127" i="17"/>
  <c r="K128" i="17"/>
  <c r="H128" i="17" s="1"/>
  <c r="I128" i="17" s="1"/>
  <c r="K129" i="17"/>
  <c r="H129" i="17"/>
  <c r="I129" i="17" s="1"/>
  <c r="K130" i="17"/>
  <c r="H130" i="17"/>
  <c r="I130" i="17" s="1"/>
  <c r="K131" i="17"/>
  <c r="H131" i="17"/>
  <c r="I131" i="17"/>
  <c r="K132" i="17"/>
  <c r="H132" i="17"/>
  <c r="I132" i="17" s="1"/>
  <c r="K133" i="17"/>
  <c r="H133" i="17" s="1"/>
  <c r="I133" i="17" s="1"/>
  <c r="K134" i="17"/>
  <c r="H134" i="17"/>
  <c r="I134" i="17" s="1"/>
  <c r="K135" i="17"/>
  <c r="H135" i="17"/>
  <c r="I135" i="17" s="1"/>
  <c r="K136" i="17"/>
  <c r="H136" i="17"/>
  <c r="I136" i="17" s="1"/>
  <c r="K137" i="17"/>
  <c r="H137" i="17"/>
  <c r="I137" i="17" s="1"/>
  <c r="K138" i="17"/>
  <c r="H138" i="17" s="1"/>
  <c r="I138" i="17" s="1"/>
  <c r="K139" i="17"/>
  <c r="H139" i="17"/>
  <c r="I139" i="17" s="1"/>
  <c r="K140" i="17"/>
  <c r="H140" i="17" s="1"/>
  <c r="I140" i="17" s="1"/>
  <c r="K141" i="17"/>
  <c r="H141" i="17"/>
  <c r="I141" i="17" s="1"/>
  <c r="K142" i="17"/>
  <c r="H142" i="17"/>
  <c r="I142" i="17"/>
  <c r="K143" i="17"/>
  <c r="H143" i="17" s="1"/>
  <c r="I143" i="17" s="1"/>
  <c r="K144" i="17"/>
  <c r="H144" i="17"/>
  <c r="I144" i="17" s="1"/>
  <c r="K145" i="17"/>
  <c r="H145" i="17"/>
  <c r="I145" i="17"/>
  <c r="K146" i="17"/>
  <c r="H146" i="17"/>
  <c r="I146" i="17"/>
  <c r="K147" i="17"/>
  <c r="H147" i="17"/>
  <c r="I147" i="17"/>
  <c r="K148" i="17"/>
  <c r="H148" i="17" s="1"/>
  <c r="I148" i="17"/>
  <c r="K149" i="17"/>
  <c r="H149" i="17" s="1"/>
  <c r="I149" i="17" s="1"/>
  <c r="K150" i="17"/>
  <c r="H150" i="17"/>
  <c r="I150" i="17" s="1"/>
  <c r="K151" i="17"/>
  <c r="H151" i="17" s="1"/>
  <c r="I151" i="17" s="1"/>
  <c r="K152" i="17"/>
  <c r="H152" i="17" s="1"/>
  <c r="I152" i="17" s="1"/>
  <c r="K153" i="17"/>
  <c r="H153" i="17"/>
  <c r="I153" i="17" s="1"/>
  <c r="K154" i="17"/>
  <c r="H154" i="17" s="1"/>
  <c r="I154" i="17" s="1"/>
  <c r="K155" i="17"/>
  <c r="H155" i="17" s="1"/>
  <c r="I155" i="17"/>
  <c r="K156" i="17"/>
  <c r="H156" i="17" s="1"/>
  <c r="I156" i="17"/>
  <c r="K157" i="17"/>
  <c r="H157" i="17" s="1"/>
  <c r="I157" i="17" s="1"/>
  <c r="K158" i="17"/>
  <c r="H158" i="17" s="1"/>
  <c r="I158" i="17" s="1"/>
  <c r="K159" i="17"/>
  <c r="H159" i="17"/>
  <c r="I159" i="17" s="1"/>
  <c r="K160" i="17"/>
  <c r="H160" i="17"/>
  <c r="I160" i="17" s="1"/>
  <c r="K161" i="17"/>
  <c r="H161" i="17"/>
  <c r="I161" i="17" s="1"/>
  <c r="K162" i="17"/>
  <c r="H162" i="17"/>
  <c r="I162" i="17" s="1"/>
  <c r="K163" i="17"/>
  <c r="H163" i="17"/>
  <c r="I163" i="17" s="1"/>
  <c r="K164" i="17"/>
  <c r="H164" i="17" s="1"/>
  <c r="I164" i="17" s="1"/>
  <c r="K165" i="17"/>
  <c r="H165" i="17"/>
  <c r="I165" i="17" s="1"/>
  <c r="K166" i="17"/>
  <c r="H166" i="17"/>
  <c r="I166" i="17" s="1"/>
  <c r="K167" i="17"/>
  <c r="H167" i="17" s="1"/>
  <c r="I167" i="17" s="1"/>
  <c r="K168" i="17"/>
  <c r="H168" i="17" s="1"/>
  <c r="I168" i="17" s="1"/>
  <c r="K169" i="17"/>
  <c r="H169" i="17"/>
  <c r="I169" i="17" s="1"/>
  <c r="K170" i="17"/>
  <c r="H170" i="17" s="1"/>
  <c r="I170" i="17" s="1"/>
  <c r="K171" i="17"/>
  <c r="H171" i="17" s="1"/>
  <c r="I171" i="17" s="1"/>
  <c r="K172" i="17"/>
  <c r="H172" i="17" s="1"/>
  <c r="I172" i="17" s="1"/>
  <c r="K173" i="17"/>
  <c r="H173" i="17"/>
  <c r="I173" i="17" s="1"/>
  <c r="K174" i="17"/>
  <c r="H174" i="17"/>
  <c r="I174" i="17"/>
  <c r="K175" i="17"/>
  <c r="H175" i="17"/>
  <c r="I175" i="17" s="1"/>
  <c r="K176" i="17"/>
  <c r="H176" i="17" s="1"/>
  <c r="I176" i="17" s="1"/>
  <c r="K177" i="17"/>
  <c r="H177" i="17"/>
  <c r="I177" i="17"/>
  <c r="K178" i="17"/>
  <c r="H178" i="17" s="1"/>
  <c r="I178" i="17" s="1"/>
  <c r="K179" i="17"/>
  <c r="H179" i="17" s="1"/>
  <c r="I179" i="17" s="1"/>
  <c r="K180" i="17"/>
  <c r="H180" i="17"/>
  <c r="I180" i="17" s="1"/>
  <c r="K181" i="17"/>
  <c r="H181" i="17"/>
  <c r="I181" i="17"/>
  <c r="K182" i="17"/>
  <c r="H182" i="17"/>
  <c r="I182" i="17"/>
  <c r="K183" i="17"/>
  <c r="H183" i="17" s="1"/>
  <c r="I183" i="17" s="1"/>
  <c r="K184" i="17"/>
  <c r="H184" i="17" s="1"/>
  <c r="I184" i="17" s="1"/>
  <c r="K185" i="17"/>
  <c r="H185" i="17" s="1"/>
  <c r="I185" i="17"/>
  <c r="K186" i="17"/>
  <c r="H186" i="17" s="1"/>
  <c r="I186" i="17" s="1"/>
  <c r="K187" i="17"/>
  <c r="H187" i="17" s="1"/>
  <c r="I187" i="17" s="1"/>
  <c r="K188" i="17"/>
  <c r="H188" i="17" s="1"/>
  <c r="I188" i="17" s="1"/>
  <c r="K189" i="17"/>
  <c r="H189" i="17"/>
  <c r="I189" i="17" s="1"/>
  <c r="K190" i="17"/>
  <c r="H190" i="17"/>
  <c r="I190" i="17" s="1"/>
  <c r="K191" i="17"/>
  <c r="H191" i="17"/>
  <c r="I191" i="17" s="1"/>
  <c r="K192" i="17"/>
  <c r="H192" i="17"/>
  <c r="I192" i="17" s="1"/>
  <c r="K193" i="17"/>
  <c r="H193" i="17" s="1"/>
  <c r="I193" i="17" s="1"/>
  <c r="K194" i="17"/>
  <c r="H194" i="17" s="1"/>
  <c r="I194" i="17" s="1"/>
  <c r="K195" i="17"/>
  <c r="H195" i="17" s="1"/>
  <c r="I195" i="17" s="1"/>
  <c r="K196" i="17"/>
  <c r="H196" i="17"/>
  <c r="I196" i="17" s="1"/>
  <c r="K197" i="17"/>
  <c r="H197" i="17" s="1"/>
  <c r="I197" i="17" s="1"/>
  <c r="K198" i="17"/>
  <c r="H198" i="17"/>
  <c r="I198" i="17" s="1"/>
  <c r="K199" i="17"/>
  <c r="H199" i="17" s="1"/>
  <c r="I199" i="17"/>
  <c r="K200" i="17"/>
  <c r="H200" i="17"/>
  <c r="I200" i="17" s="1"/>
  <c r="K201" i="17"/>
  <c r="H201" i="17"/>
  <c r="I201" i="17" s="1"/>
  <c r="K202" i="17"/>
  <c r="H202" i="17"/>
  <c r="I202" i="17" s="1"/>
  <c r="K203" i="17"/>
  <c r="H203" i="17"/>
  <c r="I203" i="17"/>
  <c r="K204" i="17"/>
  <c r="H204" i="17"/>
  <c r="I204" i="17" s="1"/>
  <c r="K205" i="17"/>
  <c r="H205" i="17"/>
  <c r="I205" i="17"/>
  <c r="K206" i="17"/>
  <c r="H206" i="17" s="1"/>
  <c r="I206" i="17" s="1"/>
  <c r="K207" i="17"/>
  <c r="H207" i="17"/>
  <c r="I207" i="17"/>
  <c r="K208" i="17"/>
  <c r="H208" i="17" s="1"/>
  <c r="I208" i="17" s="1"/>
  <c r="K209" i="17"/>
  <c r="H209" i="17" s="1"/>
  <c r="I209" i="17"/>
  <c r="K210" i="17"/>
  <c r="H210" i="17"/>
  <c r="I210" i="17" s="1"/>
  <c r="K211" i="17"/>
  <c r="H211" i="17" s="1"/>
  <c r="I211" i="17"/>
  <c r="K212" i="17"/>
  <c r="H212" i="17" s="1"/>
  <c r="I212" i="17"/>
  <c r="K213" i="17"/>
  <c r="H213" i="17" s="1"/>
  <c r="I213" i="17"/>
  <c r="K214" i="17"/>
  <c r="H214" i="17"/>
  <c r="I214" i="17"/>
  <c r="K215" i="17"/>
  <c r="H215" i="17" s="1"/>
  <c r="I215" i="17" s="1"/>
  <c r="K216" i="17"/>
  <c r="H216" i="17"/>
  <c r="I216" i="17" s="1"/>
  <c r="K217" i="17"/>
  <c r="H217" i="17" s="1"/>
  <c r="I217" i="17" s="1"/>
  <c r="K218" i="17"/>
  <c r="H218" i="17"/>
  <c r="I218" i="17" s="1"/>
  <c r="K219" i="17"/>
  <c r="H219" i="17" s="1"/>
  <c r="I219" i="17" s="1"/>
  <c r="K220" i="17"/>
  <c r="H220" i="17" s="1"/>
  <c r="I220" i="17" s="1"/>
  <c r="K221" i="17"/>
  <c r="H221" i="17"/>
  <c r="I221" i="17" s="1"/>
  <c r="K222" i="17"/>
  <c r="H222" i="17"/>
  <c r="I222" i="17" s="1"/>
  <c r="K223" i="17"/>
  <c r="H223" i="17"/>
  <c r="I223" i="17"/>
  <c r="K224" i="17"/>
  <c r="H224" i="17" s="1"/>
  <c r="I224" i="17" s="1"/>
  <c r="K225" i="17"/>
  <c r="H225" i="17" s="1"/>
  <c r="I225" i="17" s="1"/>
  <c r="K226" i="17"/>
  <c r="H226" i="17"/>
  <c r="I226" i="17"/>
  <c r="K227" i="17"/>
  <c r="H227" i="17" s="1"/>
  <c r="I227" i="17" s="1"/>
  <c r="K228" i="17"/>
  <c r="H228" i="17"/>
  <c r="I228" i="17"/>
  <c r="K229" i="17"/>
  <c r="H229" i="17"/>
  <c r="I229" i="17" s="1"/>
  <c r="K230" i="17"/>
  <c r="H230" i="17"/>
  <c r="I230" i="17" s="1"/>
  <c r="K231" i="17"/>
  <c r="H231" i="17"/>
  <c r="I231" i="17" s="1"/>
  <c r="K232" i="17"/>
  <c r="H232" i="17" s="1"/>
  <c r="I232" i="17"/>
  <c r="K233" i="17"/>
  <c r="H233" i="17"/>
  <c r="I233" i="17" s="1"/>
  <c r="K234" i="17"/>
  <c r="H234" i="17" s="1"/>
  <c r="I234" i="17" s="1"/>
  <c r="K235" i="17"/>
  <c r="H235" i="17"/>
  <c r="I235" i="17" s="1"/>
  <c r="K236" i="17"/>
  <c r="H236" i="17"/>
  <c r="I236" i="17" s="1"/>
  <c r="K237" i="17"/>
  <c r="H237" i="17" s="1"/>
  <c r="I237" i="17" s="1"/>
  <c r="K238" i="17"/>
  <c r="H238" i="17"/>
  <c r="I238" i="17" s="1"/>
  <c r="K239" i="17"/>
  <c r="H239" i="17"/>
  <c r="I239" i="17" s="1"/>
  <c r="K240" i="17"/>
  <c r="H240" i="17" s="1"/>
  <c r="I240" i="17" s="1"/>
  <c r="K241" i="17"/>
  <c r="H241" i="17" s="1"/>
  <c r="I241" i="17" s="1"/>
  <c r="K242" i="17"/>
  <c r="H242" i="17"/>
  <c r="I242" i="17" s="1"/>
  <c r="K243" i="17"/>
  <c r="H243" i="17" s="1"/>
  <c r="I243" i="17" s="1"/>
  <c r="K244" i="17"/>
  <c r="H244" i="17"/>
  <c r="I244" i="17" s="1"/>
  <c r="K245" i="17"/>
  <c r="H245" i="17"/>
  <c r="I245" i="17"/>
  <c r="K246" i="17"/>
  <c r="H246" i="17"/>
  <c r="I246" i="17" s="1"/>
  <c r="K247" i="17"/>
  <c r="H247" i="17"/>
  <c r="I247" i="17"/>
  <c r="K248" i="17"/>
  <c r="H248" i="17" s="1"/>
  <c r="I248" i="17" s="1"/>
  <c r="K249" i="17"/>
  <c r="H249" i="17"/>
  <c r="I249" i="17" s="1"/>
  <c r="K250" i="17"/>
  <c r="H250" i="17"/>
  <c r="I250" i="17" s="1"/>
  <c r="K251" i="17"/>
  <c r="H251" i="17" s="1"/>
  <c r="I251" i="17" s="1"/>
  <c r="K252" i="17"/>
  <c r="H252" i="17" s="1"/>
  <c r="I252" i="17" s="1"/>
  <c r="K253" i="17"/>
  <c r="H253" i="17" s="1"/>
  <c r="I253" i="17" s="1"/>
  <c r="K254" i="17"/>
  <c r="H254" i="17"/>
  <c r="I254" i="17" s="1"/>
  <c r="K255" i="17"/>
  <c r="H255" i="17" s="1"/>
  <c r="I255" i="17"/>
  <c r="K256" i="17"/>
  <c r="H256" i="17" s="1"/>
  <c r="I256" i="17" s="1"/>
  <c r="K257" i="17"/>
  <c r="H257" i="17"/>
  <c r="I257" i="17"/>
  <c r="K258" i="17"/>
  <c r="H258" i="17" s="1"/>
  <c r="I258" i="17"/>
  <c r="K259" i="17"/>
  <c r="H259" i="17"/>
  <c r="I259" i="17"/>
  <c r="K260" i="17"/>
  <c r="H260" i="17" s="1"/>
  <c r="I260" i="17" s="1"/>
  <c r="K261" i="17"/>
  <c r="H261" i="17"/>
  <c r="I261" i="17" s="1"/>
  <c r="K262" i="17"/>
  <c r="H262" i="17"/>
  <c r="I262" i="17"/>
  <c r="K263" i="17"/>
  <c r="H263" i="17"/>
  <c r="I263" i="17" s="1"/>
  <c r="K264" i="17"/>
  <c r="H264" i="17" s="1"/>
  <c r="I264" i="17" s="1"/>
  <c r="K265" i="17"/>
  <c r="H265" i="17"/>
  <c r="I265" i="17" s="1"/>
  <c r="K266" i="17"/>
  <c r="H266" i="17"/>
  <c r="I266" i="17" s="1"/>
  <c r="K21" i="17"/>
  <c r="H21" i="17"/>
  <c r="I21" i="17"/>
  <c r="D18" i="8"/>
  <c r="D19" i="8"/>
  <c r="D20" i="8"/>
  <c r="D21" i="8"/>
  <c r="D22" i="8"/>
  <c r="D23" i="8"/>
  <c r="D24" i="8"/>
  <c r="L162" i="18"/>
  <c r="I300" i="18" s="1"/>
  <c r="J300" i="18" s="1"/>
  <c r="L306" i="18"/>
  <c r="I444" i="18" s="1"/>
  <c r="J444" i="18" s="1"/>
  <c r="L163" i="18"/>
  <c r="L307" i="18" s="1"/>
  <c r="I445" i="18" s="1"/>
  <c r="J445" i="18"/>
  <c r="L164" i="18"/>
  <c r="L165" i="18"/>
  <c r="L309" i="18"/>
  <c r="I447" i="18" s="1"/>
  <c r="J447" i="18"/>
  <c r="L166" i="18"/>
  <c r="L310" i="18"/>
  <c r="I448" i="18" s="1"/>
  <c r="J448" i="18" s="1"/>
  <c r="L167" i="18"/>
  <c r="L311" i="18" s="1"/>
  <c r="I449" i="18" s="1"/>
  <c r="J449" i="18" s="1"/>
  <c r="L168" i="18"/>
  <c r="L312" i="18"/>
  <c r="I450" i="18"/>
  <c r="J450" i="18"/>
  <c r="L169" i="18"/>
  <c r="L313" i="18" s="1"/>
  <c r="I451" i="18" s="1"/>
  <c r="J451" i="18" s="1"/>
  <c r="L170" i="18"/>
  <c r="L314" i="18"/>
  <c r="I452" i="18" s="1"/>
  <c r="J452" i="18" s="1"/>
  <c r="L171" i="18"/>
  <c r="L315" i="18" s="1"/>
  <c r="I453" i="18"/>
  <c r="J453" i="18" s="1"/>
  <c r="L172" i="18"/>
  <c r="L316" i="18" s="1"/>
  <c r="I454" i="18" s="1"/>
  <c r="J454" i="18" s="1"/>
  <c r="L173" i="18"/>
  <c r="L317" i="18"/>
  <c r="I455" i="18" s="1"/>
  <c r="J455" i="18" s="1"/>
  <c r="L174" i="18"/>
  <c r="L318" i="18" s="1"/>
  <c r="I456" i="18" s="1"/>
  <c r="J456" i="18" s="1"/>
  <c r="L175" i="18"/>
  <c r="I313" i="18" s="1"/>
  <c r="J313" i="18" s="1"/>
  <c r="L319" i="18"/>
  <c r="I457" i="18" s="1"/>
  <c r="J457" i="18" s="1"/>
  <c r="L176" i="18"/>
  <c r="L320" i="18"/>
  <c r="I458" i="18"/>
  <c r="J458" i="18"/>
  <c r="L177" i="18"/>
  <c r="I315" i="18" s="1"/>
  <c r="J315" i="18" s="1"/>
  <c r="L321" i="18"/>
  <c r="I459" i="18" s="1"/>
  <c r="J459" i="18" s="1"/>
  <c r="L178" i="18"/>
  <c r="I316" i="18" s="1"/>
  <c r="J316" i="18" s="1"/>
  <c r="L179" i="18"/>
  <c r="L323" i="18" s="1"/>
  <c r="I461" i="18" s="1"/>
  <c r="J461" i="18"/>
  <c r="L180" i="18"/>
  <c r="L324" i="18" s="1"/>
  <c r="I462" i="18"/>
  <c r="J462" i="18" s="1"/>
  <c r="L181" i="18"/>
  <c r="L325" i="18"/>
  <c r="I463" i="18" s="1"/>
  <c r="J463" i="18" s="1"/>
  <c r="L182" i="18"/>
  <c r="L326" i="18" s="1"/>
  <c r="I464" i="18" s="1"/>
  <c r="J464" i="18" s="1"/>
  <c r="L183" i="18"/>
  <c r="L327" i="18" s="1"/>
  <c r="I465" i="18" s="1"/>
  <c r="J465" i="18" s="1"/>
  <c r="L184" i="18"/>
  <c r="L328" i="18"/>
  <c r="I466" i="18"/>
  <c r="J466" i="18" s="1"/>
  <c r="L185" i="18"/>
  <c r="L329" i="18" s="1"/>
  <c r="I467" i="18" s="1"/>
  <c r="J467" i="18" s="1"/>
  <c r="L186" i="18"/>
  <c r="L330" i="18" s="1"/>
  <c r="I468" i="18"/>
  <c r="J468" i="18" s="1"/>
  <c r="L187" i="18"/>
  <c r="L331" i="18" s="1"/>
  <c r="I469" i="18"/>
  <c r="J469" i="18" s="1"/>
  <c r="L188" i="18"/>
  <c r="L332" i="18" s="1"/>
  <c r="I470" i="18"/>
  <c r="J470" i="18" s="1"/>
  <c r="L189" i="18"/>
  <c r="L333" i="18"/>
  <c r="I471" i="18" s="1"/>
  <c r="J471" i="18"/>
  <c r="L190" i="18"/>
  <c r="L334" i="18"/>
  <c r="I472" i="18"/>
  <c r="J472" i="18"/>
  <c r="L191" i="18"/>
  <c r="L335" i="18"/>
  <c r="I473" i="18" s="1"/>
  <c r="J473" i="18" s="1"/>
  <c r="L192" i="18"/>
  <c r="I330" i="18" s="1"/>
  <c r="L336" i="18"/>
  <c r="I474" i="18" s="1"/>
  <c r="J474" i="18" s="1"/>
  <c r="L193" i="18"/>
  <c r="L337" i="18" s="1"/>
  <c r="I475" i="18"/>
  <c r="J475" i="18"/>
  <c r="L194" i="18"/>
  <c r="L338" i="18"/>
  <c r="I476" i="18" s="1"/>
  <c r="J476" i="18" s="1"/>
  <c r="L196" i="18"/>
  <c r="L197" i="18"/>
  <c r="L341" i="18" s="1"/>
  <c r="I479" i="18" s="1"/>
  <c r="J479" i="18" s="1"/>
  <c r="L198" i="18"/>
  <c r="I336" i="18" s="1"/>
  <c r="J336" i="18" s="1"/>
  <c r="L199" i="18"/>
  <c r="L343" i="18" s="1"/>
  <c r="I481" i="18" s="1"/>
  <c r="J481" i="18" s="1"/>
  <c r="L200" i="18"/>
  <c r="L344" i="18" s="1"/>
  <c r="I482" i="18"/>
  <c r="J482" i="18" s="1"/>
  <c r="L201" i="18"/>
  <c r="I339" i="18" s="1"/>
  <c r="J339" i="18" s="1"/>
  <c r="L345" i="18"/>
  <c r="I483" i="18"/>
  <c r="J483" i="18" s="1"/>
  <c r="L202" i="18"/>
  <c r="L346" i="18" s="1"/>
  <c r="I484" i="18" s="1"/>
  <c r="J484" i="18" s="1"/>
  <c r="L203" i="18"/>
  <c r="L347" i="18" s="1"/>
  <c r="I485" i="18" s="1"/>
  <c r="J485" i="18" s="1"/>
  <c r="L204" i="18"/>
  <c r="L348" i="18"/>
  <c r="I486" i="18" s="1"/>
  <c r="J486" i="18"/>
  <c r="L205" i="18"/>
  <c r="I343" i="18" s="1"/>
  <c r="J343" i="18" s="1"/>
  <c r="L349" i="18"/>
  <c r="I487" i="18" s="1"/>
  <c r="J487" i="18" s="1"/>
  <c r="L206" i="18"/>
  <c r="I344" i="18" s="1"/>
  <c r="J344" i="18" s="1"/>
  <c r="L350" i="18"/>
  <c r="I488" i="18" s="1"/>
  <c r="J488" i="18"/>
  <c r="L207" i="18"/>
  <c r="L351" i="18" s="1"/>
  <c r="I489" i="18"/>
  <c r="J489" i="18"/>
  <c r="L208" i="18"/>
  <c r="L352" i="18"/>
  <c r="I490" i="18"/>
  <c r="J490" i="18" s="1"/>
  <c r="L209" i="18"/>
  <c r="L353" i="18"/>
  <c r="I491" i="18" s="1"/>
  <c r="J491" i="18" s="1"/>
  <c r="L210" i="18"/>
  <c r="I348" i="18" s="1"/>
  <c r="J348" i="18" s="1"/>
  <c r="L354" i="18"/>
  <c r="I492" i="18"/>
  <c r="J492" i="18" s="1"/>
  <c r="L211" i="18"/>
  <c r="L355" i="18"/>
  <c r="I493" i="18" s="1"/>
  <c r="J493" i="18" s="1"/>
  <c r="L212" i="18"/>
  <c r="L213" i="18"/>
  <c r="L357" i="18"/>
  <c r="I495" i="18"/>
  <c r="J495" i="18"/>
  <c r="L214" i="18"/>
  <c r="L358" i="18" s="1"/>
  <c r="I496" i="18" s="1"/>
  <c r="J496" i="18"/>
  <c r="L215" i="18"/>
  <c r="L359" i="18"/>
  <c r="I497" i="18"/>
  <c r="J497" i="18" s="1"/>
  <c r="L216" i="18"/>
  <c r="L360" i="18"/>
  <c r="I498" i="18" s="1"/>
  <c r="J498" i="18" s="1"/>
  <c r="L217" i="18"/>
  <c r="I355" i="18" s="1"/>
  <c r="J355" i="18" s="1"/>
  <c r="L361" i="18"/>
  <c r="I499" i="18" s="1"/>
  <c r="J499" i="18" s="1"/>
  <c r="L218" i="18"/>
  <c r="I356" i="18" s="1"/>
  <c r="J356" i="18" s="1"/>
  <c r="L219" i="18"/>
  <c r="I357" i="18" s="1"/>
  <c r="J357" i="18" s="1"/>
  <c r="L220" i="18"/>
  <c r="L364" i="18"/>
  <c r="I502" i="18" s="1"/>
  <c r="J502" i="18" s="1"/>
  <c r="L221" i="18"/>
  <c r="L222" i="18"/>
  <c r="L223" i="18"/>
  <c r="L367" i="18"/>
  <c r="I505" i="18"/>
  <c r="J505" i="18" s="1"/>
  <c r="L224" i="18"/>
  <c r="L368" i="18"/>
  <c r="I506" i="18" s="1"/>
  <c r="J506" i="18" s="1"/>
  <c r="L225" i="18"/>
  <c r="L369" i="18"/>
  <c r="I507" i="18"/>
  <c r="J507" i="18" s="1"/>
  <c r="L226" i="18"/>
  <c r="L227" i="18"/>
  <c r="L228" i="18"/>
  <c r="L372" i="18" s="1"/>
  <c r="I510" i="18" s="1"/>
  <c r="J510" i="18" s="1"/>
  <c r="L229" i="18"/>
  <c r="L373" i="18" s="1"/>
  <c r="I511" i="18" s="1"/>
  <c r="J511" i="18" s="1"/>
  <c r="L230" i="18"/>
  <c r="L374" i="18" s="1"/>
  <c r="I512" i="18"/>
  <c r="J512" i="18" s="1"/>
  <c r="L231" i="18"/>
  <c r="L375" i="18"/>
  <c r="I513" i="18"/>
  <c r="J513" i="18"/>
  <c r="L232" i="18"/>
  <c r="L376" i="18" s="1"/>
  <c r="I514" i="18" s="1"/>
  <c r="J514" i="18" s="1"/>
  <c r="L233" i="18"/>
  <c r="I371" i="18" s="1"/>
  <c r="J371" i="18" s="1"/>
  <c r="L234" i="18"/>
  <c r="L378" i="18" s="1"/>
  <c r="I516" i="18" s="1"/>
  <c r="J516" i="18" s="1"/>
  <c r="L235" i="18"/>
  <c r="L379" i="18" s="1"/>
  <c r="I517" i="18"/>
  <c r="J517" i="18" s="1"/>
  <c r="L236" i="18"/>
  <c r="L380" i="18" s="1"/>
  <c r="I518" i="18"/>
  <c r="J518" i="18" s="1"/>
  <c r="L237" i="18"/>
  <c r="I375" i="18" s="1"/>
  <c r="J375" i="18" s="1"/>
  <c r="L381" i="18"/>
  <c r="I519" i="18"/>
  <c r="J519" i="18" s="1"/>
  <c r="L238" i="18"/>
  <c r="L382" i="18" s="1"/>
  <c r="I520" i="18"/>
  <c r="J520" i="18" s="1"/>
  <c r="L239" i="18"/>
  <c r="L383" i="18"/>
  <c r="I521" i="18"/>
  <c r="J521" i="18"/>
  <c r="L240" i="18"/>
  <c r="I378" i="18" s="1"/>
  <c r="J378" i="18" s="1"/>
  <c r="L241" i="18"/>
  <c r="L385" i="18" s="1"/>
  <c r="I523" i="18" s="1"/>
  <c r="J523" i="18" s="1"/>
  <c r="L242" i="18"/>
  <c r="L386" i="18" s="1"/>
  <c r="I524" i="18"/>
  <c r="J524" i="18" s="1"/>
  <c r="L243" i="18"/>
  <c r="L387" i="18"/>
  <c r="I525" i="18" s="1"/>
  <c r="J525" i="18" s="1"/>
  <c r="L244" i="18"/>
  <c r="L388" i="18" s="1"/>
  <c r="I526" i="18" s="1"/>
  <c r="J526" i="18" s="1"/>
  <c r="L245" i="18"/>
  <c r="L389" i="18"/>
  <c r="I527" i="18" s="1"/>
  <c r="J527" i="18" s="1"/>
  <c r="L246" i="18"/>
  <c r="L390" i="18"/>
  <c r="I528" i="18" s="1"/>
  <c r="J528" i="18" s="1"/>
  <c r="L247" i="18"/>
  <c r="L391" i="18"/>
  <c r="I529" i="18" s="1"/>
  <c r="J529" i="18" s="1"/>
  <c r="L248" i="18"/>
  <c r="L392" i="18"/>
  <c r="I530" i="18"/>
  <c r="J530" i="18"/>
  <c r="L249" i="18"/>
  <c r="L393" i="18" s="1"/>
  <c r="I531" i="18" s="1"/>
  <c r="J531" i="18" s="1"/>
  <c r="L250" i="18"/>
  <c r="L394" i="18"/>
  <c r="I532" i="18" s="1"/>
  <c r="J532" i="18" s="1"/>
  <c r="L251" i="18"/>
  <c r="L395" i="18"/>
  <c r="I533" i="18" s="1"/>
  <c r="J533" i="18" s="1"/>
  <c r="L252" i="18"/>
  <c r="L253" i="18"/>
  <c r="I391" i="18" s="1"/>
  <c r="J391" i="18" s="1"/>
  <c r="L254" i="18"/>
  <c r="L255" i="18"/>
  <c r="I393" i="18" s="1"/>
  <c r="J393" i="18" s="1"/>
  <c r="L256" i="18"/>
  <c r="L400" i="18" s="1"/>
  <c r="I538" i="18"/>
  <c r="J538" i="18"/>
  <c r="L257" i="18"/>
  <c r="I395" i="18" s="1"/>
  <c r="J395" i="18" s="1"/>
  <c r="L401" i="18"/>
  <c r="I539" i="18" s="1"/>
  <c r="J539" i="18" s="1"/>
  <c r="L258" i="18"/>
  <c r="L402" i="18"/>
  <c r="I540" i="18"/>
  <c r="J540" i="18" s="1"/>
  <c r="L259" i="18"/>
  <c r="L403" i="18"/>
  <c r="I541" i="18" s="1"/>
  <c r="J541" i="18" s="1"/>
  <c r="L260" i="18"/>
  <c r="L404" i="18"/>
  <c r="I542" i="18" s="1"/>
  <c r="J542" i="18" s="1"/>
  <c r="L261" i="18"/>
  <c r="L405" i="18"/>
  <c r="I543" i="18" s="1"/>
  <c r="J543" i="18" s="1"/>
  <c r="L262" i="18"/>
  <c r="L406" i="18"/>
  <c r="I544" i="18"/>
  <c r="J544" i="18" s="1"/>
  <c r="L263" i="18"/>
  <c r="L407" i="18" s="1"/>
  <c r="I545" i="18"/>
  <c r="J545" i="18" s="1"/>
  <c r="L264" i="18"/>
  <c r="I402" i="18" s="1"/>
  <c r="J402" i="18" s="1"/>
  <c r="L408" i="18"/>
  <c r="I546" i="18" s="1"/>
  <c r="J546" i="18" s="1"/>
  <c r="L265" i="18"/>
  <c r="L409" i="18"/>
  <c r="I547" i="18" s="1"/>
  <c r="J547" i="18" s="1"/>
  <c r="L266" i="18"/>
  <c r="L410" i="18"/>
  <c r="I548" i="18"/>
  <c r="J548" i="18" s="1"/>
  <c r="L267" i="18"/>
  <c r="L411" i="18" s="1"/>
  <c r="I549" i="18"/>
  <c r="J549" i="18" s="1"/>
  <c r="L268" i="18"/>
  <c r="L412" i="18"/>
  <c r="I550" i="18" s="1"/>
  <c r="J550" i="18" s="1"/>
  <c r="L269" i="18"/>
  <c r="L413" i="18" s="1"/>
  <c r="I551" i="18" s="1"/>
  <c r="J551" i="18" s="1"/>
  <c r="L270" i="18"/>
  <c r="L414" i="18" s="1"/>
  <c r="I552" i="18"/>
  <c r="J552" i="18"/>
  <c r="L271" i="18"/>
  <c r="L415" i="18"/>
  <c r="I553" i="18" s="1"/>
  <c r="J553" i="18" s="1"/>
  <c r="L272" i="18"/>
  <c r="I410" i="18" s="1"/>
  <c r="J410" i="18" s="1"/>
  <c r="L273" i="18"/>
  <c r="I411" i="18" s="1"/>
  <c r="J411" i="18" s="1"/>
  <c r="L274" i="18"/>
  <c r="I412" i="18" s="1"/>
  <c r="J412" i="18" s="1"/>
  <c r="L275" i="18"/>
  <c r="L419" i="18"/>
  <c r="I557" i="18" s="1"/>
  <c r="J557" i="18"/>
  <c r="L276" i="18"/>
  <c r="I414" i="18" s="1"/>
  <c r="J414" i="18" s="1"/>
  <c r="L420" i="18"/>
  <c r="I558" i="18"/>
  <c r="J558" i="18"/>
  <c r="L277" i="18"/>
  <c r="L421" i="18" s="1"/>
  <c r="I559" i="18"/>
  <c r="J559" i="18" s="1"/>
  <c r="L278" i="18"/>
  <c r="L422" i="18"/>
  <c r="I560" i="18" s="1"/>
  <c r="J560" i="18" s="1"/>
  <c r="L279" i="18"/>
  <c r="L423" i="18"/>
  <c r="I561" i="18"/>
  <c r="J561" i="18" s="1"/>
  <c r="L280" i="18"/>
  <c r="L424" i="18" s="1"/>
  <c r="I562" i="18" s="1"/>
  <c r="J562" i="18" s="1"/>
  <c r="L281" i="18"/>
  <c r="I419" i="18" s="1"/>
  <c r="J419" i="18" s="1"/>
  <c r="L282" i="18"/>
  <c r="L426" i="18" s="1"/>
  <c r="I564" i="18" s="1"/>
  <c r="J564" i="18" s="1"/>
  <c r="L283" i="18"/>
  <c r="L427" i="18" s="1"/>
  <c r="I565" i="18"/>
  <c r="J565" i="18" s="1"/>
  <c r="L284" i="18"/>
  <c r="L428" i="18" s="1"/>
  <c r="I566" i="18"/>
  <c r="J566" i="18" s="1"/>
  <c r="L285" i="18"/>
  <c r="L429" i="18"/>
  <c r="I567" i="18" s="1"/>
  <c r="J567" i="18" s="1"/>
  <c r="L286" i="18"/>
  <c r="L430" i="18"/>
  <c r="I568" i="18"/>
  <c r="J568" i="18" s="1"/>
  <c r="L287" i="18"/>
  <c r="L431" i="18"/>
  <c r="I569" i="18" s="1"/>
  <c r="J569" i="18" s="1"/>
  <c r="L288" i="18"/>
  <c r="L432" i="18" s="1"/>
  <c r="I570" i="18" s="1"/>
  <c r="J570" i="18" s="1"/>
  <c r="L289" i="18"/>
  <c r="L433" i="18" s="1"/>
  <c r="I571" i="18" s="1"/>
  <c r="J571" i="18" s="1"/>
  <c r="L290" i="18"/>
  <c r="L434" i="18"/>
  <c r="I572" i="18" s="1"/>
  <c r="J572" i="18" s="1"/>
  <c r="L291" i="18"/>
  <c r="L435" i="18" s="1"/>
  <c r="I573" i="18"/>
  <c r="J573" i="18" s="1"/>
  <c r="L292" i="18"/>
  <c r="I430" i="18" s="1"/>
  <c r="J430" i="18" s="1"/>
  <c r="L436" i="18"/>
  <c r="I574" i="18" s="1"/>
  <c r="J574" i="18" s="1"/>
  <c r="L293" i="18"/>
  <c r="L437" i="18"/>
  <c r="I575" i="18" s="1"/>
  <c r="J575" i="18" s="1"/>
  <c r="L294" i="18"/>
  <c r="L438" i="18"/>
  <c r="I576" i="18" s="1"/>
  <c r="J576" i="18" s="1"/>
  <c r="L295" i="18"/>
  <c r="I433" i="18" s="1"/>
  <c r="J433" i="18" s="1"/>
  <c r="L439" i="18"/>
  <c r="I577" i="18" s="1"/>
  <c r="J577" i="18" s="1"/>
  <c r="L296" i="18"/>
  <c r="I434" i="18" s="1"/>
  <c r="L440" i="18"/>
  <c r="I578" i="18" s="1"/>
  <c r="J578" i="18" s="1"/>
  <c r="L297" i="18"/>
  <c r="L441" i="18"/>
  <c r="I579" i="18"/>
  <c r="J579" i="18" s="1"/>
  <c r="L298" i="18"/>
  <c r="L442" i="18" s="1"/>
  <c r="I580" i="18" s="1"/>
  <c r="J580" i="18"/>
  <c r="L161" i="18"/>
  <c r="I299" i="18" s="1"/>
  <c r="L305" i="18"/>
  <c r="I443" i="18" s="1"/>
  <c r="J443" i="18" s="1"/>
  <c r="I301" i="18"/>
  <c r="J301" i="18" s="1"/>
  <c r="I303" i="18"/>
  <c r="J303" i="18"/>
  <c r="I304" i="18"/>
  <c r="J304" i="18"/>
  <c r="I306" i="18"/>
  <c r="J306" i="18"/>
  <c r="I307" i="18"/>
  <c r="J307" i="18"/>
  <c r="I308" i="18"/>
  <c r="J308" i="18"/>
  <c r="I309" i="18"/>
  <c r="J309" i="18" s="1"/>
  <c r="I310" i="18"/>
  <c r="J310" i="18" s="1"/>
  <c r="I311" i="18"/>
  <c r="J311" i="18" s="1"/>
  <c r="I312" i="18"/>
  <c r="J312" i="18" s="1"/>
  <c r="I314" i="18"/>
  <c r="J314" i="18"/>
  <c r="I317" i="18"/>
  <c r="J317" i="18" s="1"/>
  <c r="I318" i="18"/>
  <c r="J318" i="18" s="1"/>
  <c r="I319" i="18"/>
  <c r="J319" i="18"/>
  <c r="I320" i="18"/>
  <c r="J320" i="18" s="1"/>
  <c r="I321" i="18"/>
  <c r="J321" i="18" s="1"/>
  <c r="I322" i="18"/>
  <c r="J322" i="18"/>
  <c r="I323" i="18"/>
  <c r="J323" i="18"/>
  <c r="I325" i="18"/>
  <c r="J325" i="18" s="1"/>
  <c r="I326" i="18"/>
  <c r="J326" i="18"/>
  <c r="I327" i="18"/>
  <c r="J327" i="18" s="1"/>
  <c r="I328" i="18"/>
  <c r="J328" i="18" s="1"/>
  <c r="I329" i="18"/>
  <c r="J329" i="18" s="1"/>
  <c r="J330" i="18"/>
  <c r="I332" i="18"/>
  <c r="J332" i="18"/>
  <c r="I338" i="18"/>
  <c r="J338" i="18" s="1"/>
  <c r="I340" i="18"/>
  <c r="J340" i="18" s="1"/>
  <c r="I342" i="18"/>
  <c r="J342" i="18"/>
  <c r="I345" i="18"/>
  <c r="J345" i="18" s="1"/>
  <c r="I346" i="18"/>
  <c r="J346" i="18"/>
  <c r="I347" i="18"/>
  <c r="J347" i="18"/>
  <c r="I349" i="18"/>
  <c r="J349" i="18" s="1"/>
  <c r="I351" i="18"/>
  <c r="J351" i="18" s="1"/>
  <c r="I353" i="18"/>
  <c r="J353" i="18"/>
  <c r="I354" i="18"/>
  <c r="J354" i="18" s="1"/>
  <c r="I358" i="18"/>
  <c r="J358" i="18"/>
  <c r="I361" i="18"/>
  <c r="J361" i="18"/>
  <c r="I362" i="18"/>
  <c r="J362" i="18"/>
  <c r="I363" i="18"/>
  <c r="J363" i="18" s="1"/>
  <c r="I367" i="18"/>
  <c r="J367" i="18"/>
  <c r="I368" i="18"/>
  <c r="J368" i="18" s="1"/>
  <c r="I369" i="18"/>
  <c r="J369" i="18" s="1"/>
  <c r="I370" i="18"/>
  <c r="J370" i="18"/>
  <c r="I372" i="18"/>
  <c r="J372" i="18"/>
  <c r="I374" i="18"/>
  <c r="J374" i="18" s="1"/>
  <c r="I377" i="18"/>
  <c r="J377" i="18"/>
  <c r="I379" i="18"/>
  <c r="J379" i="18" s="1"/>
  <c r="I380" i="18"/>
  <c r="J380" i="18" s="1"/>
  <c r="I381" i="18"/>
  <c r="J381" i="18"/>
  <c r="I383" i="18"/>
  <c r="J383" i="18" s="1"/>
  <c r="I384" i="18"/>
  <c r="J384" i="18"/>
  <c r="I385" i="18"/>
  <c r="J385" i="18" s="1"/>
  <c r="I386" i="18"/>
  <c r="J386" i="18"/>
  <c r="I387" i="18"/>
  <c r="J387" i="18" s="1"/>
  <c r="I388" i="18"/>
  <c r="J388" i="18" s="1"/>
  <c r="I389" i="18"/>
  <c r="J389" i="18"/>
  <c r="I396" i="18"/>
  <c r="J396" i="18" s="1"/>
  <c r="I397" i="18"/>
  <c r="J397" i="18" s="1"/>
  <c r="I398" i="18"/>
  <c r="J398" i="18"/>
  <c r="I399" i="18"/>
  <c r="J399" i="18" s="1"/>
  <c r="I400" i="18"/>
  <c r="J400" i="18" s="1"/>
  <c r="I401" i="18"/>
  <c r="J401" i="18" s="1"/>
  <c r="I403" i="18"/>
  <c r="J403" i="18"/>
  <c r="I404" i="18"/>
  <c r="J404" i="18"/>
  <c r="I405" i="18"/>
  <c r="J405" i="18" s="1"/>
  <c r="I406" i="18"/>
  <c r="J406" i="18" s="1"/>
  <c r="I407" i="18"/>
  <c r="J407" i="18" s="1"/>
  <c r="I408" i="18"/>
  <c r="J408" i="18" s="1"/>
  <c r="I409" i="18"/>
  <c r="J409" i="18"/>
  <c r="I413" i="18"/>
  <c r="J413" i="18"/>
  <c r="I415" i="18"/>
  <c r="J415" i="18"/>
  <c r="I416" i="18"/>
  <c r="J416" i="18"/>
  <c r="I417" i="18"/>
  <c r="J417" i="18" s="1"/>
  <c r="I418" i="18"/>
  <c r="J418" i="18"/>
  <c r="I421" i="18"/>
  <c r="J421" i="18" s="1"/>
  <c r="I422" i="18"/>
  <c r="J422" i="18" s="1"/>
  <c r="I423" i="18"/>
  <c r="J423" i="18"/>
  <c r="I424" i="18"/>
  <c r="J424" i="18"/>
  <c r="I425" i="18"/>
  <c r="J425" i="18" s="1"/>
  <c r="I426" i="18"/>
  <c r="J426" i="18" s="1"/>
  <c r="I427" i="18"/>
  <c r="J427" i="18" s="1"/>
  <c r="I428" i="18"/>
  <c r="J428" i="18"/>
  <c r="I429" i="18"/>
  <c r="J429" i="18" s="1"/>
  <c r="I431" i="18"/>
  <c r="J431" i="18" s="1"/>
  <c r="I432" i="18"/>
  <c r="J432" i="18" s="1"/>
  <c r="J434" i="18"/>
  <c r="I435" i="18"/>
  <c r="J435" i="18" s="1"/>
  <c r="I436" i="18"/>
  <c r="J436" i="18" s="1"/>
  <c r="J299" i="18"/>
  <c r="D25" i="8"/>
  <c r="I159" i="18"/>
  <c r="J159" i="18"/>
  <c r="I160" i="18"/>
  <c r="J160" i="18"/>
  <c r="I161" i="18"/>
  <c r="J161" i="18" s="1"/>
  <c r="I162" i="18"/>
  <c r="J162" i="18" s="1"/>
  <c r="I163" i="18"/>
  <c r="J163" i="18"/>
  <c r="I164" i="18"/>
  <c r="J164" i="18" s="1"/>
  <c r="I165" i="18"/>
  <c r="J165" i="18" s="1"/>
  <c r="I166" i="18"/>
  <c r="J166" i="18" s="1"/>
  <c r="I167" i="18"/>
  <c r="J167" i="18"/>
  <c r="I168" i="18"/>
  <c r="J168" i="18"/>
  <c r="I169" i="18"/>
  <c r="J169" i="18"/>
  <c r="I170" i="18"/>
  <c r="J170" i="18" s="1"/>
  <c r="I171" i="18"/>
  <c r="J171" i="18"/>
  <c r="I172" i="18"/>
  <c r="J172" i="18" s="1"/>
  <c r="I173" i="18"/>
  <c r="J173" i="18" s="1"/>
  <c r="I174" i="18"/>
  <c r="J174" i="18"/>
  <c r="I175" i="18"/>
  <c r="J175" i="18" s="1"/>
  <c r="I176" i="18"/>
  <c r="J176" i="18" s="1"/>
  <c r="I177" i="18"/>
  <c r="J177" i="18" s="1"/>
  <c r="I178" i="18"/>
  <c r="J178" i="18" s="1"/>
  <c r="I179" i="18"/>
  <c r="J179" i="18"/>
  <c r="I180" i="18"/>
  <c r="J180" i="18" s="1"/>
  <c r="I181" i="18"/>
  <c r="J181" i="18" s="1"/>
  <c r="I182" i="18"/>
  <c r="J182" i="18" s="1"/>
  <c r="I183" i="18"/>
  <c r="J183" i="18"/>
  <c r="I184" i="18"/>
  <c r="J184" i="18" s="1"/>
  <c r="I185" i="18"/>
  <c r="J185" i="18"/>
  <c r="I186" i="18"/>
  <c r="J186" i="18" s="1"/>
  <c r="I187" i="18"/>
  <c r="J187" i="18"/>
  <c r="I188" i="18"/>
  <c r="J188" i="18"/>
  <c r="I189" i="18"/>
  <c r="J189" i="18" s="1"/>
  <c r="I190" i="18"/>
  <c r="J190" i="18" s="1"/>
  <c r="I191" i="18"/>
  <c r="J191" i="18" s="1"/>
  <c r="I192" i="18"/>
  <c r="J192" i="18"/>
  <c r="I193" i="18"/>
  <c r="J193" i="18" s="1"/>
  <c r="I194" i="18"/>
  <c r="J194" i="18" s="1"/>
  <c r="I195" i="18"/>
  <c r="J195" i="18"/>
  <c r="I196" i="18"/>
  <c r="J196" i="18" s="1"/>
  <c r="I197" i="18"/>
  <c r="J197" i="18"/>
  <c r="I198" i="18"/>
  <c r="J198" i="18" s="1"/>
  <c r="I199" i="18"/>
  <c r="J199" i="18"/>
  <c r="I200" i="18"/>
  <c r="J200" i="18" s="1"/>
  <c r="I201" i="18"/>
  <c r="J201" i="18"/>
  <c r="I202" i="18"/>
  <c r="J202" i="18"/>
  <c r="I203" i="18"/>
  <c r="J203" i="18" s="1"/>
  <c r="I204" i="18"/>
  <c r="J204" i="18" s="1"/>
  <c r="I205" i="18"/>
  <c r="J205" i="18"/>
  <c r="I206" i="18"/>
  <c r="J206" i="18" s="1"/>
  <c r="I207" i="18"/>
  <c r="J207" i="18" s="1"/>
  <c r="I208" i="18"/>
  <c r="J208" i="18"/>
  <c r="I209" i="18"/>
  <c r="J209" i="18" s="1"/>
  <c r="I210" i="18"/>
  <c r="J210" i="18" s="1"/>
  <c r="I211" i="18"/>
  <c r="J211" i="18"/>
  <c r="I212" i="18"/>
  <c r="J212" i="18" s="1"/>
  <c r="I213" i="18"/>
  <c r="J213" i="18"/>
  <c r="I214" i="18"/>
  <c r="J214" i="18" s="1"/>
  <c r="I215" i="18"/>
  <c r="J215" i="18" s="1"/>
  <c r="I216" i="18"/>
  <c r="J216" i="18"/>
  <c r="I217" i="18"/>
  <c r="J217" i="18" s="1"/>
  <c r="I218" i="18"/>
  <c r="J218" i="18" s="1"/>
  <c r="I219" i="18"/>
  <c r="J219" i="18"/>
  <c r="I220" i="18"/>
  <c r="J220" i="18"/>
  <c r="I221" i="18"/>
  <c r="J221" i="18"/>
  <c r="I222" i="18"/>
  <c r="J222" i="18" s="1"/>
  <c r="I223" i="18"/>
  <c r="J223" i="18" s="1"/>
  <c r="I224" i="18"/>
  <c r="J224" i="18"/>
  <c r="I225" i="18"/>
  <c r="J225" i="18"/>
  <c r="I226" i="18"/>
  <c r="J226" i="18" s="1"/>
  <c r="I227" i="18"/>
  <c r="J227" i="18"/>
  <c r="I228" i="18"/>
  <c r="J228" i="18" s="1"/>
  <c r="I229" i="18"/>
  <c r="J229" i="18" s="1"/>
  <c r="I230" i="18"/>
  <c r="J230" i="18"/>
  <c r="I231" i="18"/>
  <c r="J231" i="18" s="1"/>
  <c r="I232" i="18"/>
  <c r="J232" i="18" s="1"/>
  <c r="I233" i="18"/>
  <c r="J233" i="18"/>
  <c r="I234" i="18"/>
  <c r="J234" i="18"/>
  <c r="I235" i="18"/>
  <c r="J235" i="18"/>
  <c r="I236" i="18"/>
  <c r="J236" i="18"/>
  <c r="I237" i="18"/>
  <c r="J237" i="18"/>
  <c r="I238" i="18"/>
  <c r="J238" i="18" s="1"/>
  <c r="I239" i="18"/>
  <c r="J239" i="18"/>
  <c r="I240" i="18"/>
  <c r="J240" i="18" s="1"/>
  <c r="I241" i="18"/>
  <c r="J241" i="18" s="1"/>
  <c r="I242" i="18"/>
  <c r="J242" i="18" s="1"/>
  <c r="I243" i="18"/>
  <c r="J243" i="18"/>
  <c r="I244" i="18"/>
  <c r="J244" i="18"/>
  <c r="I245" i="18"/>
  <c r="J245" i="18" s="1"/>
  <c r="I246" i="18"/>
  <c r="J246" i="18" s="1"/>
  <c r="I247" i="18"/>
  <c r="J247" i="18" s="1"/>
  <c r="I248" i="18"/>
  <c r="J248" i="18"/>
  <c r="I249" i="18"/>
  <c r="J249" i="18" s="1"/>
  <c r="I250" i="18"/>
  <c r="J250" i="18"/>
  <c r="I251" i="18"/>
  <c r="J251" i="18" s="1"/>
  <c r="I252" i="18"/>
  <c r="J252" i="18" s="1"/>
  <c r="I254" i="18"/>
  <c r="J254" i="18" s="1"/>
  <c r="I255" i="18"/>
  <c r="J255" i="18" s="1"/>
  <c r="I256" i="18"/>
  <c r="J256" i="18" s="1"/>
  <c r="I257" i="18"/>
  <c r="J257" i="18" s="1"/>
  <c r="I258" i="18"/>
  <c r="J258" i="18" s="1"/>
  <c r="I259" i="18"/>
  <c r="J259" i="18" s="1"/>
  <c r="I260" i="18"/>
  <c r="J260" i="18" s="1"/>
  <c r="I261" i="18"/>
  <c r="J261" i="18"/>
  <c r="I262" i="18"/>
  <c r="J262" i="18"/>
  <c r="I263" i="18"/>
  <c r="J263" i="18"/>
  <c r="I264" i="18"/>
  <c r="J264" i="18" s="1"/>
  <c r="I265" i="18"/>
  <c r="J265" i="18"/>
  <c r="I266" i="18"/>
  <c r="J266" i="18" s="1"/>
  <c r="I267" i="18"/>
  <c r="J267" i="18"/>
  <c r="I268" i="18"/>
  <c r="J268" i="18" s="1"/>
  <c r="I269" i="18"/>
  <c r="J269" i="18" s="1"/>
  <c r="I270" i="18"/>
  <c r="J270" i="18" s="1"/>
  <c r="I271" i="18"/>
  <c r="J271" i="18"/>
  <c r="I272" i="18"/>
  <c r="J272" i="18"/>
  <c r="I273" i="18"/>
  <c r="J273" i="18" s="1"/>
  <c r="I274" i="18"/>
  <c r="J274" i="18" s="1"/>
  <c r="I275" i="18"/>
  <c r="J275" i="18" s="1"/>
  <c r="I276" i="18"/>
  <c r="J276" i="18"/>
  <c r="I277" i="18"/>
  <c r="J277" i="18"/>
  <c r="I278" i="18"/>
  <c r="J278" i="18"/>
  <c r="I279" i="18"/>
  <c r="J279" i="18"/>
  <c r="I280" i="18"/>
  <c r="J280" i="18" s="1"/>
  <c r="I281" i="18"/>
  <c r="J281" i="18"/>
  <c r="I282" i="18"/>
  <c r="J282" i="18" s="1"/>
  <c r="I283" i="18"/>
  <c r="J283" i="18" s="1"/>
  <c r="I284" i="18"/>
  <c r="J284" i="18"/>
  <c r="I285" i="18"/>
  <c r="J285" i="18" s="1"/>
  <c r="I286" i="18"/>
  <c r="J286" i="18" s="1"/>
  <c r="I287" i="18"/>
  <c r="J287" i="18" s="1"/>
  <c r="I288" i="18"/>
  <c r="J288" i="18" s="1"/>
  <c r="I289" i="18"/>
  <c r="J289" i="18"/>
  <c r="I290" i="18"/>
  <c r="J290" i="18" s="1"/>
  <c r="I291" i="18"/>
  <c r="J291" i="18" s="1"/>
  <c r="I292" i="18"/>
  <c r="J292" i="18"/>
  <c r="I158" i="18"/>
  <c r="J158" i="18"/>
  <c r="S154" i="18"/>
  <c r="S151" i="18"/>
  <c r="S148" i="18"/>
  <c r="S144" i="18"/>
  <c r="S141" i="18"/>
  <c r="S138" i="18"/>
  <c r="S135" i="18"/>
  <c r="S132" i="18"/>
  <c r="S129" i="18"/>
  <c r="S126" i="18"/>
  <c r="S123" i="18"/>
  <c r="S120" i="18"/>
  <c r="S117" i="18"/>
  <c r="S114" i="18"/>
  <c r="S111" i="18"/>
  <c r="S108" i="18"/>
  <c r="S105" i="18"/>
  <c r="S102" i="18"/>
  <c r="S99" i="18"/>
  <c r="S96" i="18"/>
  <c r="S93" i="18"/>
  <c r="S90" i="18"/>
  <c r="S87" i="18"/>
  <c r="S84" i="18"/>
  <c r="S81" i="18"/>
  <c r="S78" i="18"/>
  <c r="S75" i="18"/>
  <c r="S72" i="18"/>
  <c r="S69" i="18"/>
  <c r="S65" i="18"/>
  <c r="S62" i="18"/>
  <c r="S59" i="18"/>
  <c r="S56" i="18"/>
  <c r="S53" i="18"/>
  <c r="S50" i="18"/>
  <c r="S47" i="18"/>
  <c r="S44" i="18"/>
  <c r="S41" i="18"/>
  <c r="S38" i="18"/>
  <c r="S35" i="18"/>
  <c r="S32" i="18"/>
  <c r="S29" i="18"/>
  <c r="S26" i="18"/>
  <c r="S23" i="18"/>
  <c r="S20" i="18"/>
  <c r="S19" i="18"/>
  <c r="I176" i="23"/>
  <c r="J176" i="23" s="1"/>
  <c r="F176" i="23"/>
  <c r="D176" i="23"/>
  <c r="D174" i="23"/>
  <c r="D175" i="23" s="1"/>
  <c r="I173" i="23"/>
  <c r="J173" i="23" s="1"/>
  <c r="I172" i="23"/>
  <c r="J172" i="23" s="1"/>
  <c r="F172" i="23"/>
  <c r="F175" i="23" s="1"/>
  <c r="I169" i="23"/>
  <c r="J169" i="23" s="1"/>
  <c r="D169" i="23"/>
  <c r="D170" i="23"/>
  <c r="D171" i="23" s="1"/>
  <c r="I168" i="23"/>
  <c r="J168" i="23" s="1"/>
  <c r="F168" i="23"/>
  <c r="F169" i="23" s="1"/>
  <c r="F170" i="23" s="1"/>
  <c r="I165" i="23"/>
  <c r="J165" i="23" s="1"/>
  <c r="D165" i="23"/>
  <c r="D166" i="23"/>
  <c r="I164" i="23"/>
  <c r="J164" i="23" s="1"/>
  <c r="F164" i="23"/>
  <c r="F167" i="23"/>
  <c r="I161" i="23"/>
  <c r="J161" i="23" s="1"/>
  <c r="D160" i="23"/>
  <c r="D161" i="23" s="1"/>
  <c r="D162" i="23" s="1"/>
  <c r="I160" i="23"/>
  <c r="J160" i="23" s="1"/>
  <c r="F160" i="23"/>
  <c r="F161" i="23"/>
  <c r="F162" i="23"/>
  <c r="I159" i="23"/>
  <c r="J159" i="23" s="1"/>
  <c r="I158" i="23"/>
  <c r="J158" i="23" s="1"/>
  <c r="E158" i="23"/>
  <c r="C158" i="23"/>
  <c r="I157" i="23"/>
  <c r="J157" i="23" s="1"/>
  <c r="I156" i="23"/>
  <c r="J156" i="23" s="1"/>
  <c r="H156" i="23"/>
  <c r="H157" i="23"/>
  <c r="H158" i="23" s="1"/>
  <c r="E156" i="23"/>
  <c r="C156" i="23"/>
  <c r="I155" i="23"/>
  <c r="J155" i="23" s="1"/>
  <c r="F155" i="23"/>
  <c r="F157" i="23"/>
  <c r="F159" i="23" s="1"/>
  <c r="D155" i="23"/>
  <c r="D156" i="23"/>
  <c r="D157" i="23" s="1"/>
  <c r="I154" i="23"/>
  <c r="J154" i="23" s="1"/>
  <c r="I153" i="23"/>
  <c r="J153" i="23" s="1"/>
  <c r="E153" i="23"/>
  <c r="C153" i="23"/>
  <c r="I152" i="23"/>
  <c r="J152" i="23" s="1"/>
  <c r="I151" i="23"/>
  <c r="J151" i="23" s="1"/>
  <c r="H151" i="23"/>
  <c r="H152" i="23"/>
  <c r="H153" i="23" s="1"/>
  <c r="E151" i="23"/>
  <c r="C151" i="23"/>
  <c r="I150" i="23"/>
  <c r="J150" i="23" s="1"/>
  <c r="F150" i="23"/>
  <c r="F152" i="23"/>
  <c r="F154" i="23" s="1"/>
  <c r="D150" i="23"/>
  <c r="D151" i="23" s="1"/>
  <c r="I149" i="23"/>
  <c r="J149" i="23" s="1"/>
  <c r="E148" i="23"/>
  <c r="C148" i="23"/>
  <c r="H146" i="23"/>
  <c r="H147" i="23"/>
  <c r="H148" i="23" s="1"/>
  <c r="E146" i="23"/>
  <c r="C146" i="23"/>
  <c r="F145" i="23"/>
  <c r="F147" i="23"/>
  <c r="D145" i="23"/>
  <c r="D146" i="23"/>
  <c r="D148" i="23" s="1"/>
  <c r="D149" i="23" s="1"/>
  <c r="F144" i="23"/>
  <c r="D144" i="23"/>
  <c r="G143" i="23"/>
  <c r="F140" i="23"/>
  <c r="F143" i="23" s="1"/>
  <c r="I142" i="23"/>
  <c r="J142" i="23" s="1"/>
  <c r="I143" i="23"/>
  <c r="J143" i="23" s="1"/>
  <c r="I175" i="23"/>
  <c r="J175" i="23" s="1"/>
  <c r="D142" i="23"/>
  <c r="D143" i="23"/>
  <c r="G139" i="23"/>
  <c r="I138" i="23"/>
  <c r="J138" i="23" s="1"/>
  <c r="I170" i="23"/>
  <c r="J170" i="23" s="1"/>
  <c r="D137" i="23"/>
  <c r="D138" i="23" s="1"/>
  <c r="D139" i="23" s="1"/>
  <c r="F136" i="23"/>
  <c r="F139" i="23" s="1"/>
  <c r="G135" i="23"/>
  <c r="I134" i="23"/>
  <c r="J134" i="23" s="1"/>
  <c r="I135" i="23"/>
  <c r="J135" i="23" s="1"/>
  <c r="I167" i="23"/>
  <c r="J167" i="23" s="1"/>
  <c r="D133" i="23"/>
  <c r="D134" i="23"/>
  <c r="F132" i="23"/>
  <c r="F135" i="23"/>
  <c r="I130" i="23"/>
  <c r="J130" i="23" s="1"/>
  <c r="G131" i="23"/>
  <c r="F128" i="23"/>
  <c r="F131" i="23" s="1"/>
  <c r="F129" i="23"/>
  <c r="F130" i="23" s="1"/>
  <c r="D128" i="23"/>
  <c r="D129" i="23" s="1"/>
  <c r="D130" i="23" s="1"/>
  <c r="F123" i="23"/>
  <c r="F125" i="23"/>
  <c r="F127" i="23" s="1"/>
  <c r="L126" i="23"/>
  <c r="G126" i="23"/>
  <c r="E126" i="23"/>
  <c r="C126" i="23"/>
  <c r="F126" i="23"/>
  <c r="L124" i="23"/>
  <c r="H124" i="23"/>
  <c r="H125" i="23"/>
  <c r="H126" i="23" s="1"/>
  <c r="G124" i="23"/>
  <c r="E124" i="23"/>
  <c r="C124" i="23"/>
  <c r="F124" i="23"/>
  <c r="D123" i="23"/>
  <c r="D124" i="23" s="1"/>
  <c r="L121" i="23"/>
  <c r="G121" i="23"/>
  <c r="E121" i="23"/>
  <c r="D118" i="23"/>
  <c r="D119" i="23" s="1"/>
  <c r="C121" i="23"/>
  <c r="L119" i="23"/>
  <c r="H119" i="23"/>
  <c r="H120" i="23" s="1"/>
  <c r="H121" i="23" s="1"/>
  <c r="G119" i="23"/>
  <c r="E119" i="23"/>
  <c r="C119" i="23"/>
  <c r="F118" i="23"/>
  <c r="F119" i="23" s="1"/>
  <c r="L116" i="23"/>
  <c r="G116" i="23"/>
  <c r="E116" i="23"/>
  <c r="C116" i="23"/>
  <c r="E32" i="23"/>
  <c r="I115" i="23"/>
  <c r="L114" i="23"/>
  <c r="H114" i="23"/>
  <c r="H115" i="23"/>
  <c r="H116" i="23"/>
  <c r="G114" i="23"/>
  <c r="F113" i="23"/>
  <c r="F114" i="23" s="1"/>
  <c r="E114" i="23"/>
  <c r="C114" i="23"/>
  <c r="E24" i="23"/>
  <c r="I113" i="23"/>
  <c r="J113" i="23" s="1"/>
  <c r="I145" i="23"/>
  <c r="J145" i="23" s="1"/>
  <c r="F115" i="23"/>
  <c r="F116" i="23" s="1"/>
  <c r="D113" i="23"/>
  <c r="D114" i="23"/>
  <c r="G111" i="23"/>
  <c r="F108" i="23"/>
  <c r="F110" i="23"/>
  <c r="F111" i="23"/>
  <c r="E111" i="23"/>
  <c r="C111" i="23"/>
  <c r="E31" i="23"/>
  <c r="F112" i="23"/>
  <c r="E27" i="23"/>
  <c r="I109" i="23" s="1"/>
  <c r="J109" i="23" s="1"/>
  <c r="H109" i="23"/>
  <c r="H110" i="23" s="1"/>
  <c r="H111" i="23"/>
  <c r="G109" i="23"/>
  <c r="E109" i="23"/>
  <c r="D109" i="23"/>
  <c r="D111" i="23"/>
  <c r="D112" i="23"/>
  <c r="F109" i="23"/>
  <c r="G106" i="23"/>
  <c r="E106" i="23"/>
  <c r="C106" i="23"/>
  <c r="D103" i="23"/>
  <c r="D104" i="23" s="1"/>
  <c r="H104" i="23"/>
  <c r="H105" i="23"/>
  <c r="H106" i="23"/>
  <c r="G104" i="23"/>
  <c r="E104" i="23"/>
  <c r="F103" i="23"/>
  <c r="F105" i="23" s="1"/>
  <c r="F106" i="23" s="1"/>
  <c r="F104" i="23"/>
  <c r="F102" i="23"/>
  <c r="D102" i="23"/>
  <c r="F101" i="23"/>
  <c r="D100" i="23"/>
  <c r="D101" i="23"/>
  <c r="F100" i="23"/>
  <c r="F98" i="23"/>
  <c r="D97" i="23"/>
  <c r="D98" i="23"/>
  <c r="F97" i="23"/>
  <c r="F94" i="23"/>
  <c r="F95" i="23"/>
  <c r="D94" i="23"/>
  <c r="D95" i="23" s="1"/>
  <c r="F90" i="23"/>
  <c r="F91" i="23" s="1"/>
  <c r="D90" i="23"/>
  <c r="D91" i="23"/>
  <c r="D92" i="23" s="1"/>
  <c r="F87" i="23"/>
  <c r="F88" i="23"/>
  <c r="F89" i="23"/>
  <c r="D88" i="23"/>
  <c r="D89" i="23" s="1"/>
  <c r="F84" i="23"/>
  <c r="F85" i="23" s="1"/>
  <c r="F86" i="23" s="1"/>
  <c r="D84" i="23"/>
  <c r="D85" i="23" s="1"/>
  <c r="D86" i="23"/>
  <c r="I82" i="23"/>
  <c r="J82" i="23" s="1"/>
  <c r="F81" i="23"/>
  <c r="F82" i="23"/>
  <c r="F83" i="23" s="1"/>
  <c r="D81" i="23"/>
  <c r="D82" i="23" s="1"/>
  <c r="D83" i="23" s="1"/>
  <c r="F78" i="23"/>
  <c r="F79" i="23" s="1"/>
  <c r="F80" i="23" s="1"/>
  <c r="D78" i="23"/>
  <c r="D79" i="23"/>
  <c r="D80" i="23"/>
  <c r="F75" i="23"/>
  <c r="F76" i="23"/>
  <c r="F77" i="23"/>
  <c r="D75" i="23"/>
  <c r="D76" i="23"/>
  <c r="D77" i="23" s="1"/>
  <c r="D73" i="23"/>
  <c r="D74" i="23"/>
  <c r="F72" i="23"/>
  <c r="F73" i="23"/>
  <c r="F74" i="23" s="1"/>
  <c r="F69" i="23"/>
  <c r="F70" i="23" s="1"/>
  <c r="F71" i="23" s="1"/>
  <c r="D69" i="23"/>
  <c r="D70" i="23"/>
  <c r="D71" i="23" s="1"/>
  <c r="F68" i="23"/>
  <c r="D68" i="23"/>
  <c r="F66" i="23"/>
  <c r="F67" i="23" s="1"/>
  <c r="D66" i="23"/>
  <c r="D67" i="23" s="1"/>
  <c r="F63" i="23"/>
  <c r="F64" i="23"/>
  <c r="D63" i="23"/>
  <c r="D64" i="23"/>
  <c r="F60" i="23"/>
  <c r="F61" i="23" s="1"/>
  <c r="D60" i="23"/>
  <c r="D61" i="23"/>
  <c r="F56" i="23"/>
  <c r="F57" i="23" s="1"/>
  <c r="F58" i="23" s="1"/>
  <c r="D57" i="23"/>
  <c r="D58" i="23"/>
  <c r="F54" i="23"/>
  <c r="F55" i="23" s="1"/>
  <c r="D53" i="23"/>
  <c r="D54" i="23"/>
  <c r="D55" i="23"/>
  <c r="D50" i="23"/>
  <c r="D51" i="23"/>
  <c r="D52" i="23" s="1"/>
  <c r="F51" i="23"/>
  <c r="F52" i="23"/>
  <c r="C10" i="23"/>
  <c r="E10" i="23"/>
  <c r="I76" i="23" s="1"/>
  <c r="J76" i="23" s="1"/>
  <c r="D48" i="23"/>
  <c r="D49" i="23"/>
  <c r="F48" i="23"/>
  <c r="F49" i="23"/>
  <c r="D45" i="23"/>
  <c r="D46" i="23" s="1"/>
  <c r="F44" i="23"/>
  <c r="F45" i="23" s="1"/>
  <c r="F46" i="23" s="1"/>
  <c r="F41" i="23"/>
  <c r="F42" i="23"/>
  <c r="F43" i="23"/>
  <c r="C8" i="23"/>
  <c r="E8" i="23" s="1"/>
  <c r="I41" i="23" s="1"/>
  <c r="J41" i="23" s="1"/>
  <c r="D41" i="23"/>
  <c r="D42" i="23" s="1"/>
  <c r="D43" i="23" s="1"/>
  <c r="E34" i="23"/>
  <c r="E33" i="23"/>
  <c r="I116" i="23"/>
  <c r="J116" i="23" s="1"/>
  <c r="E30" i="23"/>
  <c r="E29" i="23"/>
  <c r="E28" i="23"/>
  <c r="E26" i="23"/>
  <c r="E25" i="23"/>
  <c r="I114" i="23"/>
  <c r="J114" i="23" s="1"/>
  <c r="I104" i="23"/>
  <c r="J104" i="23" s="1"/>
  <c r="E23" i="23"/>
  <c r="I103" i="23" s="1"/>
  <c r="J103" i="23" s="1"/>
  <c r="E22" i="23"/>
  <c r="E21" i="23"/>
  <c r="E20" i="23"/>
  <c r="E19" i="23"/>
  <c r="E18" i="23"/>
  <c r="I81" i="23"/>
  <c r="J81" i="23" s="1"/>
  <c r="C17" i="23"/>
  <c r="I79" i="23" s="1"/>
  <c r="J79" i="23" s="1"/>
  <c r="E17" i="23"/>
  <c r="I78" i="23" s="1"/>
  <c r="J78" i="23" s="1"/>
  <c r="C15" i="23"/>
  <c r="E15" i="23"/>
  <c r="I72" i="23" s="1"/>
  <c r="J72" i="23" s="1"/>
  <c r="C13" i="23"/>
  <c r="E13" i="23" s="1"/>
  <c r="C12" i="23"/>
  <c r="E12" i="23"/>
  <c r="C11" i="23"/>
  <c r="E11" i="23"/>
  <c r="C9" i="23"/>
  <c r="E9" i="23" s="1"/>
  <c r="C16" i="23"/>
  <c r="E16" i="23"/>
  <c r="I75" i="23" s="1"/>
  <c r="J75" i="23" s="1"/>
  <c r="C14" i="23"/>
  <c r="E14" i="23" s="1"/>
  <c r="I69" i="23" s="1"/>
  <c r="J69" i="23" s="1"/>
  <c r="I70" i="23"/>
  <c r="J70" i="23" s="1"/>
  <c r="F117" i="23"/>
  <c r="F149" i="23"/>
  <c r="F148" i="23"/>
  <c r="D116" i="23"/>
  <c r="D117" i="23" s="1"/>
  <c r="D115" i="23"/>
  <c r="D158" i="23"/>
  <c r="D159" i="23" s="1"/>
  <c r="F163" i="23"/>
  <c r="D110" i="23"/>
  <c r="F120" i="23"/>
  <c r="F133" i="23"/>
  <c r="F134" i="23"/>
  <c r="F151" i="23"/>
  <c r="F165" i="23"/>
  <c r="F166" i="23"/>
  <c r="I166" i="23"/>
  <c r="J166" i="23" s="1"/>
  <c r="F173" i="23"/>
  <c r="F174" i="23" s="1"/>
  <c r="I174" i="23"/>
  <c r="J174" i="23" s="1"/>
  <c r="F92" i="23"/>
  <c r="F146" i="23"/>
  <c r="F156" i="23"/>
  <c r="E30" i="22"/>
  <c r="I93" i="22" s="1"/>
  <c r="J93" i="22" s="1"/>
  <c r="I98" i="22"/>
  <c r="J98" i="22" s="1"/>
  <c r="I103" i="22"/>
  <c r="J103" i="22" s="1"/>
  <c r="I107" i="22"/>
  <c r="J107" i="22" s="1"/>
  <c r="I108" i="22"/>
  <c r="J108" i="22" s="1"/>
  <c r="E24" i="22"/>
  <c r="I106" i="22" s="1"/>
  <c r="J106" i="22" s="1"/>
  <c r="E25" i="22"/>
  <c r="I110" i="22"/>
  <c r="J110" i="22" s="1"/>
  <c r="E31" i="22"/>
  <c r="I87" i="22" s="1"/>
  <c r="I109" i="22"/>
  <c r="J109" i="22" s="1"/>
  <c r="I105" i="22"/>
  <c r="J105" i="22" s="1"/>
  <c r="I104" i="22"/>
  <c r="J104" i="22" s="1"/>
  <c r="I102" i="22"/>
  <c r="J102" i="22" s="1"/>
  <c r="I101" i="22"/>
  <c r="J101" i="22" s="1"/>
  <c r="E23" i="22"/>
  <c r="I96" i="22" s="1"/>
  <c r="J96" i="22" s="1"/>
  <c r="I100" i="22"/>
  <c r="J100" i="22" s="1"/>
  <c r="I99" i="22"/>
  <c r="J99" i="22" s="1"/>
  <c r="I97" i="22"/>
  <c r="J97" i="22" s="1"/>
  <c r="E22" i="22"/>
  <c r="I91" i="22" s="1"/>
  <c r="J91" i="22" s="1"/>
  <c r="E29" i="22"/>
  <c r="I92" i="22"/>
  <c r="J92" i="22" s="1"/>
  <c r="E21" i="22"/>
  <c r="I70" i="22" s="1"/>
  <c r="F105" i="22"/>
  <c r="F106" i="22" s="1"/>
  <c r="F110" i="22"/>
  <c r="F100" i="22"/>
  <c r="F102" i="22"/>
  <c r="F103" i="22" s="1"/>
  <c r="F95" i="22"/>
  <c r="F97" i="22"/>
  <c r="F90" i="22"/>
  <c r="F92" i="22" s="1"/>
  <c r="D100" i="22"/>
  <c r="D101" i="22"/>
  <c r="D103" i="22"/>
  <c r="D104" i="22"/>
  <c r="D95" i="22"/>
  <c r="D96" i="22" s="1"/>
  <c r="D90" i="22"/>
  <c r="D91" i="22" s="1"/>
  <c r="E103" i="22"/>
  <c r="C103" i="22"/>
  <c r="E101" i="22"/>
  <c r="C101" i="22"/>
  <c r="E98" i="22"/>
  <c r="C98" i="22"/>
  <c r="E96" i="22"/>
  <c r="C96" i="22"/>
  <c r="E93" i="22"/>
  <c r="C93" i="22"/>
  <c r="E91" i="22"/>
  <c r="C91" i="22"/>
  <c r="I72" i="22"/>
  <c r="J72" i="22" s="1"/>
  <c r="E28" i="22"/>
  <c r="I67" i="22" s="1"/>
  <c r="J67" i="22" s="1"/>
  <c r="E27" i="22"/>
  <c r="E26" i="22"/>
  <c r="I89" i="22"/>
  <c r="J89" i="22" s="1"/>
  <c r="E20" i="22"/>
  <c r="I65" i="22" s="1"/>
  <c r="C13" i="22"/>
  <c r="C19" i="22" s="1"/>
  <c r="E19" i="22" s="1"/>
  <c r="E13" i="22"/>
  <c r="I52" i="22" s="1"/>
  <c r="J52" i="22" s="1"/>
  <c r="C12" i="22"/>
  <c r="C18" i="22" s="1"/>
  <c r="E18" i="22" s="1"/>
  <c r="E12" i="22"/>
  <c r="I50" i="22" s="1"/>
  <c r="J50" i="22" s="1"/>
  <c r="C11" i="22"/>
  <c r="E11" i="22" s="1"/>
  <c r="I47" i="22"/>
  <c r="J47" i="22" s="1"/>
  <c r="C10" i="22"/>
  <c r="E10" i="22" s="1"/>
  <c r="I44" i="22" s="1"/>
  <c r="J44" i="22" s="1"/>
  <c r="C9" i="22"/>
  <c r="E9" i="22"/>
  <c r="I41" i="22"/>
  <c r="J41" i="22" s="1"/>
  <c r="C8" i="22"/>
  <c r="E8" i="22" s="1"/>
  <c r="I38" i="22" s="1"/>
  <c r="J38" i="22" s="1"/>
  <c r="C14" i="22"/>
  <c r="E14" i="22" s="1"/>
  <c r="I53" i="22" s="1"/>
  <c r="J53" i="22" s="1"/>
  <c r="D38" i="22"/>
  <c r="D39" i="22" s="1"/>
  <c r="D40" i="22" s="1"/>
  <c r="F38" i="22"/>
  <c r="F39" i="22"/>
  <c r="F40" i="22"/>
  <c r="D41" i="22"/>
  <c r="D42" i="22"/>
  <c r="D43" i="22" s="1"/>
  <c r="F41" i="22"/>
  <c r="F42" i="22"/>
  <c r="F43" i="22"/>
  <c r="D44" i="22"/>
  <c r="D45" i="22" s="1"/>
  <c r="D46" i="22" s="1"/>
  <c r="F44" i="22"/>
  <c r="F45" i="22"/>
  <c r="F46" i="22" s="1"/>
  <c r="D47" i="22"/>
  <c r="D48" i="22" s="1"/>
  <c r="D49" i="22"/>
  <c r="F47" i="22"/>
  <c r="F48" i="22" s="1"/>
  <c r="F49" i="22" s="1"/>
  <c r="D50" i="22"/>
  <c r="F50" i="22"/>
  <c r="F51" i="22"/>
  <c r="D52" i="22"/>
  <c r="F52" i="22"/>
  <c r="D53" i="22"/>
  <c r="D54" i="22"/>
  <c r="D55" i="22"/>
  <c r="F53" i="22"/>
  <c r="F54" i="22" s="1"/>
  <c r="F55" i="22" s="1"/>
  <c r="D56" i="22"/>
  <c r="D57" i="22"/>
  <c r="D58" i="22" s="1"/>
  <c r="F56" i="22"/>
  <c r="F57" i="22" s="1"/>
  <c r="F58" i="22" s="1"/>
  <c r="D59" i="22"/>
  <c r="D60" i="22" s="1"/>
  <c r="D61" i="22"/>
  <c r="F59" i="22"/>
  <c r="F60" i="22" s="1"/>
  <c r="F61" i="22" s="1"/>
  <c r="D62" i="22"/>
  <c r="F62" i="22"/>
  <c r="F63" i="22" s="1"/>
  <c r="D64" i="22"/>
  <c r="F64" i="22"/>
  <c r="D65" i="22"/>
  <c r="D66" i="22"/>
  <c r="D68" i="22" s="1"/>
  <c r="D69" i="22" s="1"/>
  <c r="F65" i="22"/>
  <c r="F66" i="22" s="1"/>
  <c r="F67" i="22"/>
  <c r="F69" i="22" s="1"/>
  <c r="E66" i="22"/>
  <c r="G66" i="22"/>
  <c r="C68" i="22"/>
  <c r="E68" i="22"/>
  <c r="G68" i="22"/>
  <c r="D70" i="22"/>
  <c r="D71" i="22" s="1"/>
  <c r="F70" i="22"/>
  <c r="F71" i="22" s="1"/>
  <c r="C71" i="22"/>
  <c r="E71" i="22"/>
  <c r="G71" i="22"/>
  <c r="L71" i="22"/>
  <c r="F72" i="22"/>
  <c r="F74" i="22"/>
  <c r="C73" i="22"/>
  <c r="E73" i="22"/>
  <c r="G73" i="22"/>
  <c r="L73" i="22"/>
  <c r="D75" i="22"/>
  <c r="D76" i="22"/>
  <c r="D77" i="22"/>
  <c r="F75" i="22"/>
  <c r="F77" i="22" s="1"/>
  <c r="F76" i="22"/>
  <c r="C76" i="22"/>
  <c r="E76" i="22"/>
  <c r="G76" i="22"/>
  <c r="L76" i="22"/>
  <c r="C78" i="22"/>
  <c r="E78" i="22"/>
  <c r="G78" i="22"/>
  <c r="L78" i="22"/>
  <c r="D80" i="22"/>
  <c r="D81" i="22" s="1"/>
  <c r="F80" i="22"/>
  <c r="F82" i="22" s="1"/>
  <c r="F83" i="22" s="1"/>
  <c r="F81" i="22"/>
  <c r="C81" i="22"/>
  <c r="E81" i="22"/>
  <c r="G81" i="22"/>
  <c r="L81" i="22"/>
  <c r="C83" i="22"/>
  <c r="E83" i="22"/>
  <c r="G83" i="22"/>
  <c r="L83" i="22"/>
  <c r="D85" i="22"/>
  <c r="D86" i="22"/>
  <c r="D87" i="22" s="1"/>
  <c r="F85" i="22"/>
  <c r="F88" i="22"/>
  <c r="G88" i="22"/>
  <c r="D89" i="22"/>
  <c r="F89" i="22"/>
  <c r="F122" i="23"/>
  <c r="F121" i="23"/>
  <c r="F107" i="23"/>
  <c r="C15" i="22"/>
  <c r="E15" i="22"/>
  <c r="I56" i="22" s="1"/>
  <c r="J56" i="22" s="1"/>
  <c r="C17" i="22"/>
  <c r="E17" i="22" s="1"/>
  <c r="D102" i="22"/>
  <c r="F104" i="22"/>
  <c r="F99" i="22"/>
  <c r="F98" i="22"/>
  <c r="F96" i="22"/>
  <c r="F108" i="22"/>
  <c r="F91" i="22"/>
  <c r="F101" i="22"/>
  <c r="I68" i="22"/>
  <c r="J68" i="22" s="1"/>
  <c r="I80" i="22"/>
  <c r="F73" i="22"/>
  <c r="F86" i="22"/>
  <c r="F87" i="22" s="1"/>
  <c r="D78" i="22"/>
  <c r="D79" i="22"/>
  <c r="D28" i="8"/>
  <c r="D29" i="8"/>
  <c r="D30" i="8"/>
  <c r="B7" i="20"/>
  <c r="K640" i="15"/>
  <c r="H640" i="15" s="1"/>
  <c r="I640" i="15" s="1"/>
  <c r="K639" i="15"/>
  <c r="H639" i="15" s="1"/>
  <c r="I639" i="15" s="1"/>
  <c r="K638" i="15"/>
  <c r="H638" i="15" s="1"/>
  <c r="I638" i="15" s="1"/>
  <c r="K637" i="15"/>
  <c r="K636" i="15"/>
  <c r="H636" i="15" s="1"/>
  <c r="I636" i="15" s="1"/>
  <c r="K635" i="15"/>
  <c r="H635" i="15" s="1"/>
  <c r="I635" i="15" s="1"/>
  <c r="K634" i="15"/>
  <c r="K633" i="15"/>
  <c r="H633" i="15" s="1"/>
  <c r="I633" i="15" s="1"/>
  <c r="K632" i="15"/>
  <c r="H632" i="15" s="1"/>
  <c r="I632" i="15" s="1"/>
  <c r="K631" i="15"/>
  <c r="H631" i="15" s="1"/>
  <c r="I631" i="15" s="1"/>
  <c r="K630" i="15"/>
  <c r="H630" i="15" s="1"/>
  <c r="I630" i="15" s="1"/>
  <c r="K629" i="15"/>
  <c r="H629" i="15" s="1"/>
  <c r="I629" i="15" s="1"/>
  <c r="K628" i="15"/>
  <c r="H628" i="15" s="1"/>
  <c r="I628" i="15" s="1"/>
  <c r="K627" i="15"/>
  <c r="H627" i="15" s="1"/>
  <c r="I627" i="15" s="1"/>
  <c r="K626" i="15"/>
  <c r="H626" i="15" s="1"/>
  <c r="I626" i="15" s="1"/>
  <c r="K625" i="15"/>
  <c r="H625" i="15" s="1"/>
  <c r="I625" i="15" s="1"/>
  <c r="K624" i="15"/>
  <c r="H624" i="15" s="1"/>
  <c r="I624" i="15" s="1"/>
  <c r="K623" i="15"/>
  <c r="H623" i="15" s="1"/>
  <c r="I623" i="15" s="1"/>
  <c r="K622" i="15"/>
  <c r="H622" i="15" s="1"/>
  <c r="I622" i="15" s="1"/>
  <c r="K621" i="15"/>
  <c r="K620" i="15"/>
  <c r="K619" i="15"/>
  <c r="K618" i="15"/>
  <c r="H618" i="15" s="1"/>
  <c r="I618" i="15" s="1"/>
  <c r="K617" i="15"/>
  <c r="H617" i="15" s="1"/>
  <c r="I617" i="15" s="1"/>
  <c r="K616" i="15"/>
  <c r="H616" i="15" s="1"/>
  <c r="I616" i="15" s="1"/>
  <c r="K615" i="15"/>
  <c r="H615" i="15" s="1"/>
  <c r="I615" i="15" s="1"/>
  <c r="K614" i="15"/>
  <c r="K613" i="15"/>
  <c r="H613" i="15" s="1"/>
  <c r="I613" i="15" s="1"/>
  <c r="K612" i="15"/>
  <c r="H612" i="15" s="1"/>
  <c r="I612" i="15" s="1"/>
  <c r="K611" i="15"/>
  <c r="H611" i="15" s="1"/>
  <c r="I611" i="15" s="1"/>
  <c r="K610" i="15"/>
  <c r="H610" i="15" s="1"/>
  <c r="I610" i="15" s="1"/>
  <c r="K609" i="15"/>
  <c r="K608" i="15"/>
  <c r="H608" i="15" s="1"/>
  <c r="I608" i="15" s="1"/>
  <c r="K607" i="15"/>
  <c r="H607" i="15" s="1"/>
  <c r="I607" i="15" s="1"/>
  <c r="K606" i="15"/>
  <c r="K605" i="15"/>
  <c r="H605" i="15" s="1"/>
  <c r="I605" i="15" s="1"/>
  <c r="K604" i="15"/>
  <c r="H604" i="15" s="1"/>
  <c r="I604" i="15" s="1"/>
  <c r="K603" i="15"/>
  <c r="H603" i="15" s="1"/>
  <c r="I603" i="15" s="1"/>
  <c r="K602" i="15"/>
  <c r="H602" i="15" s="1"/>
  <c r="I602" i="15" s="1"/>
  <c r="K601" i="15"/>
  <c r="H601" i="15" s="1"/>
  <c r="I601" i="15" s="1"/>
  <c r="K600" i="15"/>
  <c r="H600" i="15" s="1"/>
  <c r="I600" i="15" s="1"/>
  <c r="K599" i="15"/>
  <c r="H599" i="15" s="1"/>
  <c r="I599" i="15" s="1"/>
  <c r="K598" i="15"/>
  <c r="H598" i="15" s="1"/>
  <c r="I598" i="15" s="1"/>
  <c r="K597" i="15"/>
  <c r="H597" i="15" s="1"/>
  <c r="I597" i="15" s="1"/>
  <c r="K596" i="15"/>
  <c r="K595" i="15"/>
  <c r="H595" i="15" s="1"/>
  <c r="I595" i="15" s="1"/>
  <c r="K594" i="15"/>
  <c r="H594" i="15" s="1"/>
  <c r="I594" i="15" s="1"/>
  <c r="K593" i="15"/>
  <c r="K592" i="15"/>
  <c r="K591" i="15"/>
  <c r="K590" i="15"/>
  <c r="H590" i="15" s="1"/>
  <c r="I590" i="15" s="1"/>
  <c r="K589" i="15"/>
  <c r="H589" i="15" s="1"/>
  <c r="I589" i="15" s="1"/>
  <c r="K588" i="15"/>
  <c r="K587" i="15"/>
  <c r="H587" i="15" s="1"/>
  <c r="I587" i="15" s="1"/>
  <c r="K586" i="15"/>
  <c r="K585" i="15"/>
  <c r="H585" i="15" s="1"/>
  <c r="I585" i="15" s="1"/>
  <c r="K584" i="15"/>
  <c r="H584" i="15" s="1"/>
  <c r="I584" i="15" s="1"/>
  <c r="K583" i="15"/>
  <c r="H583" i="15" s="1"/>
  <c r="I583" i="15" s="1"/>
  <c r="K582" i="15"/>
  <c r="H582" i="15" s="1"/>
  <c r="I582" i="15" s="1"/>
  <c r="K581" i="15"/>
  <c r="H581" i="15" s="1"/>
  <c r="I581" i="15" s="1"/>
  <c r="K580" i="15"/>
  <c r="H580" i="15" s="1"/>
  <c r="I580" i="15" s="1"/>
  <c r="K579" i="15"/>
  <c r="H579" i="15" s="1"/>
  <c r="I579" i="15" s="1"/>
  <c r="K578" i="15"/>
  <c r="K577" i="15"/>
  <c r="H577" i="15" s="1"/>
  <c r="I577" i="15" s="1"/>
  <c r="K576" i="15"/>
  <c r="K575" i="15"/>
  <c r="K574" i="15"/>
  <c r="H574" i="15" s="1"/>
  <c r="K573" i="15"/>
  <c r="H573" i="15" s="1"/>
  <c r="I573" i="15" s="1"/>
  <c r="K572" i="15"/>
  <c r="H572" i="15" s="1"/>
  <c r="I572" i="15" s="1"/>
  <c r="K571" i="15"/>
  <c r="H571" i="15" s="1"/>
  <c r="I571" i="15" s="1"/>
  <c r="K570" i="15"/>
  <c r="H570" i="15" s="1"/>
  <c r="I570" i="15" s="1"/>
  <c r="K569" i="15"/>
  <c r="H569" i="15" s="1"/>
  <c r="I569" i="15" s="1"/>
  <c r="K568" i="15"/>
  <c r="K567" i="15"/>
  <c r="H567" i="15" s="1"/>
  <c r="I567" i="15" s="1"/>
  <c r="K566" i="15"/>
  <c r="H566" i="15" s="1"/>
  <c r="I566" i="15" s="1"/>
  <c r="K565" i="15"/>
  <c r="K564" i="15"/>
  <c r="K563" i="15"/>
  <c r="K562" i="15"/>
  <c r="H562" i="15" s="1"/>
  <c r="I562" i="15" s="1"/>
  <c r="K561" i="15"/>
  <c r="H561" i="15" s="1"/>
  <c r="I561" i="15" s="1"/>
  <c r="K560" i="15"/>
  <c r="K559" i="15"/>
  <c r="H559" i="15" s="1"/>
  <c r="I559" i="15" s="1"/>
  <c r="K558" i="15"/>
  <c r="K557" i="15"/>
  <c r="H557" i="15" s="1"/>
  <c r="I557" i="15" s="1"/>
  <c r="K556" i="15"/>
  <c r="H556" i="15" s="1"/>
  <c r="I556" i="15" s="1"/>
  <c r="K555" i="15"/>
  <c r="H555" i="15" s="1"/>
  <c r="I555" i="15" s="1"/>
  <c r="K554" i="15"/>
  <c r="H554" i="15" s="1"/>
  <c r="I554" i="15" s="1"/>
  <c r="K553" i="15"/>
  <c r="K552" i="15"/>
  <c r="H552" i="15" s="1"/>
  <c r="I552" i="15" s="1"/>
  <c r="K551" i="15"/>
  <c r="H551" i="15" s="1"/>
  <c r="I551" i="15" s="1"/>
  <c r="K550" i="15"/>
  <c r="H550" i="15" s="1"/>
  <c r="I550" i="15" s="1"/>
  <c r="K549" i="15"/>
  <c r="H549" i="15" s="1"/>
  <c r="I549" i="15" s="1"/>
  <c r="K548" i="15"/>
  <c r="H548" i="15" s="1"/>
  <c r="I548" i="15" s="1"/>
  <c r="K547" i="15"/>
  <c r="H547" i="15" s="1"/>
  <c r="I547" i="15" s="1"/>
  <c r="K546" i="15"/>
  <c r="H546" i="15" s="1"/>
  <c r="I546" i="15" s="1"/>
  <c r="K545" i="15"/>
  <c r="H545" i="15" s="1"/>
  <c r="I545" i="15" s="1"/>
  <c r="K544" i="15"/>
  <c r="H544" i="15" s="1"/>
  <c r="I544" i="15" s="1"/>
  <c r="K543" i="15"/>
  <c r="H543" i="15" s="1"/>
  <c r="I543" i="15" s="1"/>
  <c r="K542" i="15"/>
  <c r="H542" i="15" s="1"/>
  <c r="I542" i="15" s="1"/>
  <c r="K541" i="15"/>
  <c r="H541" i="15" s="1"/>
  <c r="I541" i="15" s="1"/>
  <c r="K540" i="15"/>
  <c r="H540" i="15" s="1"/>
  <c r="I540" i="15" s="1"/>
  <c r="K539" i="15"/>
  <c r="H539" i="15" s="1"/>
  <c r="I539" i="15" s="1"/>
  <c r="K538" i="15"/>
  <c r="H538" i="15" s="1"/>
  <c r="I538" i="15" s="1"/>
  <c r="K537" i="15"/>
  <c r="K536" i="15"/>
  <c r="K535" i="15"/>
  <c r="K534" i="15"/>
  <c r="H534" i="15" s="1"/>
  <c r="I534" i="15" s="1"/>
  <c r="K533" i="15"/>
  <c r="H533" i="15" s="1"/>
  <c r="I533" i="15" s="1"/>
  <c r="K532" i="15"/>
  <c r="K531" i="15"/>
  <c r="H531" i="15" s="1"/>
  <c r="I531" i="15" s="1"/>
  <c r="K530" i="15"/>
  <c r="H530" i="15" s="1"/>
  <c r="I530" i="15" s="1"/>
  <c r="K529" i="15"/>
  <c r="H529" i="15" s="1"/>
  <c r="I529" i="15" s="1"/>
  <c r="K528" i="15"/>
  <c r="H528" i="15" s="1"/>
  <c r="I528" i="15" s="1"/>
  <c r="K527" i="15"/>
  <c r="H527" i="15" s="1"/>
  <c r="I527" i="15" s="1"/>
  <c r="K526" i="15"/>
  <c r="H526" i="15" s="1"/>
  <c r="I526" i="15" s="1"/>
  <c r="K525" i="15"/>
  <c r="K524" i="15"/>
  <c r="H524" i="15" s="1"/>
  <c r="I524" i="15" s="1"/>
  <c r="K523" i="15"/>
  <c r="H523" i="15" s="1"/>
  <c r="I523" i="15" s="1"/>
  <c r="K522" i="15"/>
  <c r="H522" i="15" s="1"/>
  <c r="I522" i="15" s="1"/>
  <c r="K521" i="15"/>
  <c r="H521" i="15" s="1"/>
  <c r="I521" i="15" s="1"/>
  <c r="K520" i="15"/>
  <c r="H520" i="15" s="1"/>
  <c r="I520" i="15" s="1"/>
  <c r="K519" i="15"/>
  <c r="H519" i="15" s="1"/>
  <c r="I519" i="15" s="1"/>
  <c r="K518" i="15"/>
  <c r="H518" i="15" s="1"/>
  <c r="I518" i="15" s="1"/>
  <c r="K517" i="15"/>
  <c r="H517" i="15" s="1"/>
  <c r="I517" i="15" s="1"/>
  <c r="K516" i="15"/>
  <c r="H516" i="15" s="1"/>
  <c r="I516" i="15" s="1"/>
  <c r="K515" i="15"/>
  <c r="H515" i="15" s="1"/>
  <c r="I515" i="15" s="1"/>
  <c r="K514" i="15"/>
  <c r="H514" i="15" s="1"/>
  <c r="I514" i="15" s="1"/>
  <c r="K513" i="15"/>
  <c r="H513" i="15" s="1"/>
  <c r="I513" i="15" s="1"/>
  <c r="K512" i="15"/>
  <c r="H512" i="15" s="1"/>
  <c r="I512" i="15" s="1"/>
  <c r="K511" i="15"/>
  <c r="H511" i="15" s="1"/>
  <c r="I511" i="15" s="1"/>
  <c r="K510" i="15"/>
  <c r="H510" i="15" s="1"/>
  <c r="I510" i="15" s="1"/>
  <c r="K509" i="15"/>
  <c r="K508" i="15"/>
  <c r="K507" i="15"/>
  <c r="K506" i="15"/>
  <c r="H506" i="15" s="1"/>
  <c r="I506" i="15" s="1"/>
  <c r="K505" i="15"/>
  <c r="H505" i="15" s="1"/>
  <c r="I505" i="15" s="1"/>
  <c r="K504" i="15"/>
  <c r="K503" i="15"/>
  <c r="H503" i="15" s="1"/>
  <c r="I503" i="15" s="1"/>
  <c r="K502" i="15"/>
  <c r="K501" i="15"/>
  <c r="H501" i="15" s="1"/>
  <c r="I501" i="15" s="1"/>
  <c r="K500" i="15"/>
  <c r="H500" i="15" s="1"/>
  <c r="I500" i="15" s="1"/>
  <c r="K499" i="15"/>
  <c r="H499" i="15" s="1"/>
  <c r="I499" i="15" s="1"/>
  <c r="K498" i="15"/>
  <c r="H498" i="15" s="1"/>
  <c r="I498" i="15" s="1"/>
  <c r="K497" i="15"/>
  <c r="H497" i="15" s="1"/>
  <c r="I497" i="15" s="1"/>
  <c r="K496" i="15"/>
  <c r="H496" i="15" s="1"/>
  <c r="I496" i="15" s="1"/>
  <c r="K495" i="15"/>
  <c r="H495" i="15" s="1"/>
  <c r="I495" i="15" s="1"/>
  <c r="K494" i="15"/>
  <c r="H494" i="15" s="1"/>
  <c r="I494" i="15" s="1"/>
  <c r="K493" i="15"/>
  <c r="H493" i="15" s="1"/>
  <c r="I493" i="15" s="1"/>
  <c r="K492" i="15"/>
  <c r="H492" i="15" s="1"/>
  <c r="I492" i="15" s="1"/>
  <c r="K491" i="15"/>
  <c r="H491" i="15" s="1"/>
  <c r="I491" i="15" s="1"/>
  <c r="K490" i="15"/>
  <c r="H490" i="15" s="1"/>
  <c r="I490" i="15" s="1"/>
  <c r="K489" i="15"/>
  <c r="H489" i="15" s="1"/>
  <c r="I489" i="15" s="1"/>
  <c r="K488" i="15"/>
  <c r="H488" i="15" s="1"/>
  <c r="I488" i="15" s="1"/>
  <c r="K487" i="15"/>
  <c r="H487" i="15" s="1"/>
  <c r="I487" i="15" s="1"/>
  <c r="K486" i="15"/>
  <c r="H486" i="15" s="1"/>
  <c r="I486" i="15" s="1"/>
  <c r="K485" i="15"/>
  <c r="H485" i="15" s="1"/>
  <c r="I485" i="15" s="1"/>
  <c r="K484" i="15"/>
  <c r="K483" i="15"/>
  <c r="H483" i="15" s="1"/>
  <c r="I483" i="15" s="1"/>
  <c r="K482" i="15"/>
  <c r="H482" i="15" s="1"/>
  <c r="I482" i="15" s="1"/>
  <c r="K481" i="15"/>
  <c r="K480" i="15"/>
  <c r="K479" i="15"/>
  <c r="K478" i="15"/>
  <c r="H478" i="15" s="1"/>
  <c r="I478" i="15" s="1"/>
  <c r="K477" i="15"/>
  <c r="H477" i="15" s="1"/>
  <c r="I477" i="15" s="1"/>
  <c r="K476" i="15"/>
  <c r="K475" i="15"/>
  <c r="H475" i="15" s="1"/>
  <c r="I475" i="15" s="1"/>
  <c r="K474" i="15"/>
  <c r="K473" i="15"/>
  <c r="H473" i="15" s="1"/>
  <c r="I473" i="15" s="1"/>
  <c r="K472" i="15"/>
  <c r="H472" i="15" s="1"/>
  <c r="I472" i="15" s="1"/>
  <c r="K471" i="15"/>
  <c r="H471" i="15" s="1"/>
  <c r="I471" i="15" s="1"/>
  <c r="K470" i="15"/>
  <c r="H470" i="15" s="1"/>
  <c r="I470" i="15" s="1"/>
  <c r="K469" i="15"/>
  <c r="H469" i="15" s="1"/>
  <c r="I469" i="15" s="1"/>
  <c r="K468" i="15"/>
  <c r="H468" i="15" s="1"/>
  <c r="I468" i="15" s="1"/>
  <c r="K467" i="15"/>
  <c r="H467" i="15" s="1"/>
  <c r="I467" i="15" s="1"/>
  <c r="K466" i="15"/>
  <c r="H466" i="15" s="1"/>
  <c r="I466" i="15" s="1"/>
  <c r="K465" i="15"/>
  <c r="H465" i="15" s="1"/>
  <c r="I465" i="15" s="1"/>
  <c r="K464" i="15"/>
  <c r="H464" i="15" s="1"/>
  <c r="I464" i="15" s="1"/>
  <c r="K463" i="15"/>
  <c r="H463" i="15" s="1"/>
  <c r="I463" i="15" s="1"/>
  <c r="K462" i="15"/>
  <c r="H462" i="15" s="1"/>
  <c r="I462" i="15" s="1"/>
  <c r="K461" i="15"/>
  <c r="H461" i="15" s="1"/>
  <c r="I461" i="15" s="1"/>
  <c r="K460" i="15"/>
  <c r="H460" i="15" s="1"/>
  <c r="I460" i="15" s="1"/>
  <c r="K459" i="15"/>
  <c r="H459" i="15" s="1"/>
  <c r="I459" i="15" s="1"/>
  <c r="K458" i="15"/>
  <c r="H458" i="15" s="1"/>
  <c r="I458" i="15" s="1"/>
  <c r="K457" i="15"/>
  <c r="H457" i="15" s="1"/>
  <c r="I457" i="15" s="1"/>
  <c r="K456" i="15"/>
  <c r="K455" i="15"/>
  <c r="H455" i="15" s="1"/>
  <c r="I455" i="15" s="1"/>
  <c r="K454" i="15"/>
  <c r="H454" i="15" s="1"/>
  <c r="I454" i="15" s="1"/>
  <c r="K453" i="15"/>
  <c r="K452" i="15"/>
  <c r="K451" i="15"/>
  <c r="K450" i="15"/>
  <c r="H450" i="15" s="1"/>
  <c r="I450" i="15" s="1"/>
  <c r="K449" i="15"/>
  <c r="H449" i="15" s="1"/>
  <c r="I449" i="15" s="1"/>
  <c r="K448" i="15"/>
  <c r="K447" i="15"/>
  <c r="H447" i="15" s="1"/>
  <c r="I447" i="15" s="1"/>
  <c r="K446" i="15"/>
  <c r="K445" i="15"/>
  <c r="H445" i="15" s="1"/>
  <c r="I445" i="15" s="1"/>
  <c r="K444" i="15"/>
  <c r="H444" i="15" s="1"/>
  <c r="I444" i="15" s="1"/>
  <c r="K443" i="15"/>
  <c r="H443" i="15" s="1"/>
  <c r="I443" i="15" s="1"/>
  <c r="K442" i="15"/>
  <c r="H442" i="15" s="1"/>
  <c r="I442" i="15" s="1"/>
  <c r="K441" i="15"/>
  <c r="K440" i="15"/>
  <c r="H440" i="15" s="1"/>
  <c r="I440" i="15" s="1"/>
  <c r="K439" i="15"/>
  <c r="H439" i="15" s="1"/>
  <c r="I439" i="15" s="1"/>
  <c r="K438" i="15"/>
  <c r="H438" i="15" s="1"/>
  <c r="I438" i="15" s="1"/>
  <c r="K437" i="15"/>
  <c r="H437" i="15" s="1"/>
  <c r="I437" i="15" s="1"/>
  <c r="K436" i="15"/>
  <c r="H436" i="15" s="1"/>
  <c r="I436" i="15" s="1"/>
  <c r="K435" i="15"/>
  <c r="H435" i="15" s="1"/>
  <c r="I435" i="15" s="1"/>
  <c r="K434" i="15"/>
  <c r="H434" i="15" s="1"/>
  <c r="I434" i="15" s="1"/>
  <c r="K433" i="15"/>
  <c r="H433" i="15" s="1"/>
  <c r="I433" i="15" s="1"/>
  <c r="K432" i="15"/>
  <c r="H432" i="15" s="1"/>
  <c r="I432" i="15" s="1"/>
  <c r="K431" i="15"/>
  <c r="H431" i="15" s="1"/>
  <c r="I431" i="15" s="1"/>
  <c r="K430" i="15"/>
  <c r="H430" i="15" s="1"/>
  <c r="I430" i="15" s="1"/>
  <c r="K429" i="15"/>
  <c r="H429" i="15" s="1"/>
  <c r="I429" i="15" s="1"/>
  <c r="K428" i="15"/>
  <c r="H428" i="15" s="1"/>
  <c r="I428" i="15" s="1"/>
  <c r="K427" i="15"/>
  <c r="H427" i="15" s="1"/>
  <c r="I427" i="15" s="1"/>
  <c r="K426" i="15"/>
  <c r="H426" i="15" s="1"/>
  <c r="I426" i="15" s="1"/>
  <c r="K425" i="15"/>
  <c r="K424" i="15"/>
  <c r="K423" i="15"/>
  <c r="K422" i="15"/>
  <c r="H422" i="15" s="1"/>
  <c r="I422" i="15" s="1"/>
  <c r="K421" i="15"/>
  <c r="H421" i="15" s="1"/>
  <c r="I421" i="15" s="1"/>
  <c r="K420" i="15"/>
  <c r="K419" i="15"/>
  <c r="H419" i="15" s="1"/>
  <c r="I419" i="15" s="1"/>
  <c r="K418" i="15"/>
  <c r="K417" i="15"/>
  <c r="H417" i="15" s="1"/>
  <c r="I417" i="15" s="1"/>
  <c r="K416" i="15"/>
  <c r="H416" i="15" s="1"/>
  <c r="I416" i="15" s="1"/>
  <c r="K415" i="15"/>
  <c r="H415" i="15" s="1"/>
  <c r="I415" i="15" s="1"/>
  <c r="K414" i="15"/>
  <c r="H414" i="15" s="1"/>
  <c r="I414" i="15" s="1"/>
  <c r="K413" i="15"/>
  <c r="H413" i="15" s="1"/>
  <c r="I413" i="15" s="1"/>
  <c r="K412" i="15"/>
  <c r="H412" i="15" s="1"/>
  <c r="I412" i="15" s="1"/>
  <c r="K411" i="15"/>
  <c r="H411" i="15" s="1"/>
  <c r="I411" i="15" s="1"/>
  <c r="K410" i="15"/>
  <c r="H410" i="15" s="1"/>
  <c r="I410" i="15" s="1"/>
  <c r="K409" i="15"/>
  <c r="H409" i="15" s="1"/>
  <c r="I409" i="15" s="1"/>
  <c r="K408" i="15"/>
  <c r="H408" i="15" s="1"/>
  <c r="I408" i="15" s="1"/>
  <c r="K407" i="15"/>
  <c r="H407" i="15" s="1"/>
  <c r="I407" i="15" s="1"/>
  <c r="K406" i="15"/>
  <c r="H406" i="15" s="1"/>
  <c r="I406" i="15" s="1"/>
  <c r="K405" i="15"/>
  <c r="H405" i="15" s="1"/>
  <c r="I405" i="15" s="1"/>
  <c r="K404" i="15"/>
  <c r="H404" i="15" s="1"/>
  <c r="I404" i="15" s="1"/>
  <c r="K403" i="15"/>
  <c r="H403" i="15" s="1"/>
  <c r="I403" i="15" s="1"/>
  <c r="K402" i="15"/>
  <c r="H402" i="15" s="1"/>
  <c r="I402" i="15" s="1"/>
  <c r="K401" i="15"/>
  <c r="H401" i="15" s="1"/>
  <c r="I401" i="15" s="1"/>
  <c r="K400" i="15"/>
  <c r="H400" i="15" s="1"/>
  <c r="I400" i="15" s="1"/>
  <c r="K399" i="15"/>
  <c r="H399" i="15" s="1"/>
  <c r="I399" i="15" s="1"/>
  <c r="K398" i="15"/>
  <c r="H398" i="15" s="1"/>
  <c r="I398" i="15" s="1"/>
  <c r="K397" i="15"/>
  <c r="K396" i="15"/>
  <c r="K395" i="15"/>
  <c r="K394" i="15"/>
  <c r="H394" i="15" s="1"/>
  <c r="I394" i="15" s="1"/>
  <c r="K393" i="15"/>
  <c r="H393" i="15" s="1"/>
  <c r="I393" i="15" s="1"/>
  <c r="K392" i="15"/>
  <c r="K391" i="15"/>
  <c r="H391" i="15" s="1"/>
  <c r="I391" i="15" s="1"/>
  <c r="K390" i="15"/>
  <c r="K389" i="15"/>
  <c r="H389" i="15" s="1"/>
  <c r="I389" i="15" s="1"/>
  <c r="K388" i="15"/>
  <c r="H388" i="15" s="1"/>
  <c r="I388" i="15" s="1"/>
  <c r="K387" i="15"/>
  <c r="H387" i="15" s="1"/>
  <c r="I387" i="15" s="1"/>
  <c r="K386" i="15"/>
  <c r="H386" i="15" s="1"/>
  <c r="I386" i="15" s="1"/>
  <c r="K385" i="15"/>
  <c r="H385" i="15" s="1"/>
  <c r="I385" i="15" s="1"/>
  <c r="K384" i="15"/>
  <c r="H384" i="15" s="1"/>
  <c r="I384" i="15" s="1"/>
  <c r="K383" i="15"/>
  <c r="H383" i="15" s="1"/>
  <c r="I383" i="15" s="1"/>
  <c r="K382" i="15"/>
  <c r="H382" i="15" s="1"/>
  <c r="I382" i="15" s="1"/>
  <c r="K381" i="15"/>
  <c r="H381" i="15" s="1"/>
  <c r="I381" i="15" s="1"/>
  <c r="K380" i="15"/>
  <c r="H380" i="15" s="1"/>
  <c r="I380" i="15" s="1"/>
  <c r="K379" i="15"/>
  <c r="H379" i="15" s="1"/>
  <c r="I379" i="15" s="1"/>
  <c r="K378" i="15"/>
  <c r="H378" i="15" s="1"/>
  <c r="I378" i="15" s="1"/>
  <c r="K377" i="15"/>
  <c r="H377" i="15" s="1"/>
  <c r="I377" i="15" s="1"/>
  <c r="K376" i="15"/>
  <c r="H376" i="15" s="1"/>
  <c r="I376" i="15" s="1"/>
  <c r="K375" i="15"/>
  <c r="H375" i="15" s="1"/>
  <c r="I375" i="15" s="1"/>
  <c r="K374" i="15"/>
  <c r="H374" i="15" s="1"/>
  <c r="I374" i="15" s="1"/>
  <c r="K373" i="15"/>
  <c r="H373" i="15" s="1"/>
  <c r="I373" i="15" s="1"/>
  <c r="K372" i="15"/>
  <c r="H372" i="15" s="1"/>
  <c r="I372" i="15" s="1"/>
  <c r="K371" i="15"/>
  <c r="H371" i="15" s="1"/>
  <c r="I371" i="15" s="1"/>
  <c r="K370" i="15"/>
  <c r="H370" i="15" s="1"/>
  <c r="I370" i="15" s="1"/>
  <c r="K369" i="15"/>
  <c r="K368" i="15"/>
  <c r="K367" i="15"/>
  <c r="K366" i="15"/>
  <c r="H366" i="15" s="1"/>
  <c r="I366" i="15" s="1"/>
  <c r="K365" i="15"/>
  <c r="H365" i="15" s="1"/>
  <c r="I365" i="15" s="1"/>
  <c r="K364" i="15"/>
  <c r="K363" i="15"/>
  <c r="H363" i="15" s="1"/>
  <c r="I363" i="15" s="1"/>
  <c r="K362" i="15"/>
  <c r="K361" i="15"/>
  <c r="H361" i="15" s="1"/>
  <c r="I361" i="15" s="1"/>
  <c r="K360" i="15"/>
  <c r="H360" i="15" s="1"/>
  <c r="I360" i="15" s="1"/>
  <c r="K359" i="15"/>
  <c r="H359" i="15" s="1"/>
  <c r="I359" i="15" s="1"/>
  <c r="K358" i="15"/>
  <c r="H358" i="15" s="1"/>
  <c r="I358" i="15" s="1"/>
  <c r="K357" i="15"/>
  <c r="K356" i="15"/>
  <c r="H356" i="15" s="1"/>
  <c r="I356" i="15" s="1"/>
  <c r="K355" i="15"/>
  <c r="K354" i="15"/>
  <c r="H354" i="15" s="1"/>
  <c r="K353" i="15"/>
  <c r="H353" i="15" s="1"/>
  <c r="I353" i="15" s="1"/>
  <c r="K352" i="15"/>
  <c r="H352" i="15" s="1"/>
  <c r="I352" i="15" s="1"/>
  <c r="K351" i="15"/>
  <c r="H351" i="15" s="1"/>
  <c r="I351" i="15" s="1"/>
  <c r="K350" i="15"/>
  <c r="H350" i="15" s="1"/>
  <c r="I350" i="15" s="1"/>
  <c r="K349" i="15"/>
  <c r="H349" i="15" s="1"/>
  <c r="I349" i="15" s="1"/>
  <c r="K348" i="15"/>
  <c r="H348" i="15" s="1"/>
  <c r="I348" i="15" s="1"/>
  <c r="K347" i="15"/>
  <c r="H347" i="15" s="1"/>
  <c r="I347" i="15" s="1"/>
  <c r="K346" i="15"/>
  <c r="H346" i="15" s="1"/>
  <c r="I346" i="15" s="1"/>
  <c r="K345" i="15"/>
  <c r="H345" i="15" s="1"/>
  <c r="I345" i="15" s="1"/>
  <c r="K344" i="15"/>
  <c r="H344" i="15" s="1"/>
  <c r="I344" i="15" s="1"/>
  <c r="K343" i="15"/>
  <c r="H343" i="15" s="1"/>
  <c r="I343" i="15" s="1"/>
  <c r="K342" i="15"/>
  <c r="H342" i="15" s="1"/>
  <c r="I342" i="15" s="1"/>
  <c r="K341" i="15"/>
  <c r="K340" i="15"/>
  <c r="K339" i="15"/>
  <c r="K338" i="15"/>
  <c r="H338" i="15" s="1"/>
  <c r="I338" i="15" s="1"/>
  <c r="K337" i="15"/>
  <c r="H337" i="15" s="1"/>
  <c r="I337" i="15" s="1"/>
  <c r="K336" i="15"/>
  <c r="K335" i="15"/>
  <c r="H335" i="15" s="1"/>
  <c r="I335" i="15" s="1"/>
  <c r="K334" i="15"/>
  <c r="K333" i="15"/>
  <c r="H333" i="15" s="1"/>
  <c r="I333" i="15" s="1"/>
  <c r="K332" i="15"/>
  <c r="H332" i="15" s="1"/>
  <c r="I332" i="15" s="1"/>
  <c r="K331" i="15"/>
  <c r="H331" i="15" s="1"/>
  <c r="I331" i="15" s="1"/>
  <c r="K330" i="15"/>
  <c r="H330" i="15" s="1"/>
  <c r="K329" i="15"/>
  <c r="K328" i="15"/>
  <c r="H328" i="15" s="1"/>
  <c r="I328" i="15" s="1"/>
  <c r="K327" i="15"/>
  <c r="H327" i="15" s="1"/>
  <c r="I327" i="15" s="1"/>
  <c r="K326" i="15"/>
  <c r="H326" i="15" s="1"/>
  <c r="I326" i="15" s="1"/>
  <c r="K325" i="15"/>
  <c r="H325" i="15" s="1"/>
  <c r="I325" i="15" s="1"/>
  <c r="K324" i="15"/>
  <c r="H324" i="15" s="1"/>
  <c r="I324" i="15" s="1"/>
  <c r="K323" i="15"/>
  <c r="H323" i="15" s="1"/>
  <c r="I323" i="15" s="1"/>
  <c r="K322" i="15"/>
  <c r="H322" i="15" s="1"/>
  <c r="I322" i="15" s="1"/>
  <c r="K321" i="15"/>
  <c r="H321" i="15" s="1"/>
  <c r="I321" i="15" s="1"/>
  <c r="K320" i="15"/>
  <c r="H320" i="15" s="1"/>
  <c r="I320" i="15" s="1"/>
  <c r="K319" i="15"/>
  <c r="H319" i="15" s="1"/>
  <c r="I319" i="15" s="1"/>
  <c r="K318" i="15"/>
  <c r="H318" i="15" s="1"/>
  <c r="I318" i="15" s="1"/>
  <c r="K317" i="15"/>
  <c r="H317" i="15" s="1"/>
  <c r="I317" i="15" s="1"/>
  <c r="K316" i="15"/>
  <c r="K315" i="15"/>
  <c r="H315" i="15" s="1"/>
  <c r="I315" i="15" s="1"/>
  <c r="K314" i="15"/>
  <c r="H314" i="15" s="1"/>
  <c r="I314" i="15" s="1"/>
  <c r="K313" i="15"/>
  <c r="K312" i="15"/>
  <c r="K311" i="15"/>
  <c r="K310" i="15"/>
  <c r="H310" i="15" s="1"/>
  <c r="I310" i="15" s="1"/>
  <c r="K309" i="15"/>
  <c r="H309" i="15" s="1"/>
  <c r="I309" i="15" s="1"/>
  <c r="K308" i="15"/>
  <c r="K307" i="15"/>
  <c r="H307" i="15" s="1"/>
  <c r="I307" i="15" s="1"/>
  <c r="K306" i="15"/>
  <c r="K305" i="15"/>
  <c r="H305" i="15" s="1"/>
  <c r="I305" i="15" s="1"/>
  <c r="K304" i="15"/>
  <c r="H304" i="15" s="1"/>
  <c r="I304" i="15" s="1"/>
  <c r="K303" i="15"/>
  <c r="H303" i="15" s="1"/>
  <c r="I303" i="15" s="1"/>
  <c r="K302" i="15"/>
  <c r="H302" i="15" s="1"/>
  <c r="I302" i="15" s="1"/>
  <c r="K301" i="15"/>
  <c r="K300" i="15"/>
  <c r="H300" i="15" s="1"/>
  <c r="I300" i="15" s="1"/>
  <c r="K299" i="15"/>
  <c r="H299" i="15" s="1"/>
  <c r="I299" i="15" s="1"/>
  <c r="K298" i="15"/>
  <c r="H298" i="15" s="1"/>
  <c r="I298" i="15" s="1"/>
  <c r="K297" i="15"/>
  <c r="H297" i="15" s="1"/>
  <c r="I297" i="15" s="1"/>
  <c r="K296" i="15"/>
  <c r="H296" i="15" s="1"/>
  <c r="I296" i="15" s="1"/>
  <c r="K295" i="15"/>
  <c r="H295" i="15" s="1"/>
  <c r="I295" i="15" s="1"/>
  <c r="K294" i="15"/>
  <c r="H294" i="15" s="1"/>
  <c r="I294" i="15" s="1"/>
  <c r="K293" i="15"/>
  <c r="H293" i="15" s="1"/>
  <c r="I293" i="15" s="1"/>
  <c r="K292" i="15"/>
  <c r="H292" i="15" s="1"/>
  <c r="I292" i="15" s="1"/>
  <c r="K291" i="15"/>
  <c r="H291" i="15" s="1"/>
  <c r="I291" i="15" s="1"/>
  <c r="K290" i="15"/>
  <c r="H290" i="15" s="1"/>
  <c r="I290" i="15" s="1"/>
  <c r="K289" i="15"/>
  <c r="H289" i="15" s="1"/>
  <c r="I289" i="15" s="1"/>
  <c r="K288" i="15"/>
  <c r="K287" i="15"/>
  <c r="H287" i="15" s="1"/>
  <c r="I287" i="15" s="1"/>
  <c r="K286" i="15"/>
  <c r="H286" i="15" s="1"/>
  <c r="I286" i="15" s="1"/>
  <c r="K285" i="15"/>
  <c r="K284" i="15"/>
  <c r="K283" i="15"/>
  <c r="K282" i="15"/>
  <c r="H282" i="15" s="1"/>
  <c r="I282" i="15" s="1"/>
  <c r="K281" i="15"/>
  <c r="H281" i="15" s="1"/>
  <c r="I281" i="15" s="1"/>
  <c r="K280" i="15"/>
  <c r="K279" i="15"/>
  <c r="H279" i="15" s="1"/>
  <c r="I279" i="15" s="1"/>
  <c r="K278" i="15"/>
  <c r="K277" i="15"/>
  <c r="H277" i="15" s="1"/>
  <c r="I277" i="15" s="1"/>
  <c r="K276" i="15"/>
  <c r="H276" i="15" s="1"/>
  <c r="I276" i="15" s="1"/>
  <c r="K275" i="15"/>
  <c r="H275" i="15" s="1"/>
  <c r="I275" i="15" s="1"/>
  <c r="K274" i="15"/>
  <c r="H274" i="15" s="1"/>
  <c r="I274" i="15" s="1"/>
  <c r="K273" i="15"/>
  <c r="K272" i="15"/>
  <c r="H272" i="15" s="1"/>
  <c r="I272" i="15" s="1"/>
  <c r="K271" i="15"/>
  <c r="H271" i="15" s="1"/>
  <c r="I271" i="15" s="1"/>
  <c r="K270" i="15"/>
  <c r="H270" i="15" s="1"/>
  <c r="I270" i="15" s="1"/>
  <c r="K269" i="15"/>
  <c r="H269" i="15" s="1"/>
  <c r="I269" i="15" s="1"/>
  <c r="K268" i="15"/>
  <c r="H268" i="15" s="1"/>
  <c r="I268" i="15" s="1"/>
  <c r="K267" i="15"/>
  <c r="H267" i="15" s="1"/>
  <c r="I267" i="15" s="1"/>
  <c r="K266" i="15"/>
  <c r="H266" i="15" s="1"/>
  <c r="I266" i="15" s="1"/>
  <c r="K265" i="15"/>
  <c r="H265" i="15" s="1"/>
  <c r="I265" i="15" s="1"/>
  <c r="K264" i="15"/>
  <c r="H264" i="15" s="1"/>
  <c r="I264" i="15" s="1"/>
  <c r="K263" i="15"/>
  <c r="H263" i="15" s="1"/>
  <c r="I263" i="15" s="1"/>
  <c r="K262" i="15"/>
  <c r="H262" i="15" s="1"/>
  <c r="I262" i="15" s="1"/>
  <c r="K261" i="15"/>
  <c r="H261" i="15" s="1"/>
  <c r="I261" i="15" s="1"/>
  <c r="K260" i="15"/>
  <c r="H260" i="15" s="1"/>
  <c r="I260" i="15" s="1"/>
  <c r="K259" i="15"/>
  <c r="H259" i="15" s="1"/>
  <c r="I259" i="15" s="1"/>
  <c r="K258" i="15"/>
  <c r="H258" i="15" s="1"/>
  <c r="I258" i="15" s="1"/>
  <c r="K257" i="15"/>
  <c r="K256" i="15"/>
  <c r="K255" i="15"/>
  <c r="K254" i="15"/>
  <c r="H254" i="15" s="1"/>
  <c r="I254" i="15" s="1"/>
  <c r="K253" i="15"/>
  <c r="H253" i="15" s="1"/>
  <c r="I253" i="15" s="1"/>
  <c r="K252" i="15"/>
  <c r="K251" i="15"/>
  <c r="H251" i="15" s="1"/>
  <c r="I251" i="15" s="1"/>
  <c r="K250" i="15"/>
  <c r="K249" i="15"/>
  <c r="H249" i="15" s="1"/>
  <c r="I249" i="15" s="1"/>
  <c r="K248" i="15"/>
  <c r="H248" i="15" s="1"/>
  <c r="I248" i="15" s="1"/>
  <c r="K247" i="15"/>
  <c r="H247" i="15" s="1"/>
  <c r="I247" i="15" s="1"/>
  <c r="K246" i="15"/>
  <c r="H246" i="15" s="1"/>
  <c r="I246" i="15" s="1"/>
  <c r="K245" i="15"/>
  <c r="H245" i="15" s="1"/>
  <c r="I245" i="15" s="1"/>
  <c r="K244" i="15"/>
  <c r="H244" i="15" s="1"/>
  <c r="I244" i="15" s="1"/>
  <c r="K243" i="15"/>
  <c r="H243" i="15" s="1"/>
  <c r="I243" i="15" s="1"/>
  <c r="K242" i="15"/>
  <c r="H242" i="15" s="1"/>
  <c r="I242" i="15" s="1"/>
  <c r="K241" i="15"/>
  <c r="H241" i="15" s="1"/>
  <c r="I241" i="15" s="1"/>
  <c r="K240" i="15"/>
  <c r="H240" i="15" s="1"/>
  <c r="I240" i="15" s="1"/>
  <c r="K239" i="15"/>
  <c r="H239" i="15" s="1"/>
  <c r="I239" i="15" s="1"/>
  <c r="K238" i="15"/>
  <c r="H238" i="15" s="1"/>
  <c r="I238" i="15" s="1"/>
  <c r="K237" i="15"/>
  <c r="H237" i="15" s="1"/>
  <c r="I237" i="15" s="1"/>
  <c r="K236" i="15"/>
  <c r="H236" i="15" s="1"/>
  <c r="I236" i="15" s="1"/>
  <c r="K235" i="15"/>
  <c r="H235" i="15" s="1"/>
  <c r="I235" i="15" s="1"/>
  <c r="K234" i="15"/>
  <c r="H234" i="15" s="1"/>
  <c r="I234" i="15" s="1"/>
  <c r="K233" i="15"/>
  <c r="H233" i="15" s="1"/>
  <c r="I233" i="15" s="1"/>
  <c r="K232" i="15"/>
  <c r="K231" i="15"/>
  <c r="H231" i="15" s="1"/>
  <c r="I231" i="15" s="1"/>
  <c r="K230" i="15"/>
  <c r="H230" i="15" s="1"/>
  <c r="I230" i="15" s="1"/>
  <c r="K229" i="15"/>
  <c r="K228" i="15"/>
  <c r="K227" i="15"/>
  <c r="K226" i="15"/>
  <c r="H226" i="15" s="1"/>
  <c r="I226" i="15" s="1"/>
  <c r="K225" i="15"/>
  <c r="H225" i="15" s="1"/>
  <c r="I225" i="15" s="1"/>
  <c r="K224" i="15"/>
  <c r="K223" i="15"/>
  <c r="H223" i="15" s="1"/>
  <c r="I223" i="15" s="1"/>
  <c r="K222" i="15"/>
  <c r="K221" i="15"/>
  <c r="H221" i="15" s="1"/>
  <c r="I221" i="15" s="1"/>
  <c r="K220" i="15"/>
  <c r="H220" i="15" s="1"/>
  <c r="I220" i="15" s="1"/>
  <c r="K219" i="15"/>
  <c r="H219" i="15" s="1"/>
  <c r="I219" i="15" s="1"/>
  <c r="K218" i="15"/>
  <c r="H218" i="15" s="1"/>
  <c r="I218" i="15" s="1"/>
  <c r="K217" i="15"/>
  <c r="H217" i="15" s="1"/>
  <c r="I217" i="15" s="1"/>
  <c r="K216" i="15"/>
  <c r="H216" i="15" s="1"/>
  <c r="I216" i="15" s="1"/>
  <c r="K215" i="15"/>
  <c r="H215" i="15" s="1"/>
  <c r="I215" i="15" s="1"/>
  <c r="K214" i="15"/>
  <c r="H214" i="15" s="1"/>
  <c r="I214" i="15" s="1"/>
  <c r="K213" i="15"/>
  <c r="H213" i="15" s="1"/>
  <c r="I213" i="15" s="1"/>
  <c r="K212" i="15"/>
  <c r="H212" i="15" s="1"/>
  <c r="I212" i="15" s="1"/>
  <c r="K211" i="15"/>
  <c r="H211" i="15" s="1"/>
  <c r="I211" i="15" s="1"/>
  <c r="K210" i="15"/>
  <c r="H210" i="15" s="1"/>
  <c r="I210" i="15" s="1"/>
  <c r="K209" i="15"/>
  <c r="H209" i="15" s="1"/>
  <c r="I209" i="15" s="1"/>
  <c r="K208" i="15"/>
  <c r="H208" i="15" s="1"/>
  <c r="I208" i="15" s="1"/>
  <c r="K207" i="15"/>
  <c r="H207" i="15" s="1"/>
  <c r="I207" i="15" s="1"/>
  <c r="K206" i="15"/>
  <c r="H206" i="15" s="1"/>
  <c r="I206" i="15" s="1"/>
  <c r="K205" i="15"/>
  <c r="H205" i="15" s="1"/>
  <c r="I205" i="15" s="1"/>
  <c r="K204" i="15"/>
  <c r="H204" i="15" s="1"/>
  <c r="I204" i="15" s="1"/>
  <c r="K203" i="15"/>
  <c r="H203" i="15" s="1"/>
  <c r="I203" i="15" s="1"/>
  <c r="K202" i="15"/>
  <c r="H202" i="15" s="1"/>
  <c r="I202" i="15" s="1"/>
  <c r="K201" i="15"/>
  <c r="K200" i="15"/>
  <c r="H200" i="15" s="1"/>
  <c r="I200" i="15" s="1"/>
  <c r="K199" i="15"/>
  <c r="K198" i="15"/>
  <c r="H198" i="15" s="1"/>
  <c r="I198" i="15" s="1"/>
  <c r="K197" i="15"/>
  <c r="H197" i="15" s="1"/>
  <c r="I197" i="15" s="1"/>
  <c r="K196" i="15"/>
  <c r="K195" i="15"/>
  <c r="H195" i="15" s="1"/>
  <c r="I195" i="15" s="1"/>
  <c r="K194" i="15"/>
  <c r="K193" i="15"/>
  <c r="H193" i="15" s="1"/>
  <c r="I193" i="15" s="1"/>
  <c r="K192" i="15"/>
  <c r="H192" i="15" s="1"/>
  <c r="I192" i="15" s="1"/>
  <c r="K191" i="15"/>
  <c r="H191" i="15" s="1"/>
  <c r="I191" i="15" s="1"/>
  <c r="K190" i="15"/>
  <c r="H190" i="15" s="1"/>
  <c r="I190" i="15" s="1"/>
  <c r="K189" i="15"/>
  <c r="H189" i="15" s="1"/>
  <c r="I189" i="15" s="1"/>
  <c r="K188" i="15"/>
  <c r="H188" i="15" s="1"/>
  <c r="I188" i="15" s="1"/>
  <c r="K187" i="15"/>
  <c r="H187" i="15" s="1"/>
  <c r="I187" i="15" s="1"/>
  <c r="K186" i="15"/>
  <c r="H186" i="15" s="1"/>
  <c r="I186" i="15" s="1"/>
  <c r="K185" i="15"/>
  <c r="H185" i="15" s="1"/>
  <c r="I185" i="15" s="1"/>
  <c r="K184" i="15"/>
  <c r="H184" i="15" s="1"/>
  <c r="I184" i="15" s="1"/>
  <c r="K183" i="15"/>
  <c r="H183" i="15" s="1"/>
  <c r="I183" i="15" s="1"/>
  <c r="K182" i="15"/>
  <c r="H182" i="15" s="1"/>
  <c r="I182" i="15" s="1"/>
  <c r="K181" i="15"/>
  <c r="H181" i="15" s="1"/>
  <c r="I181" i="15" s="1"/>
  <c r="K180" i="15"/>
  <c r="H180" i="15" s="1"/>
  <c r="I180" i="15" s="1"/>
  <c r="K179" i="15"/>
  <c r="H179" i="15" s="1"/>
  <c r="I179" i="15" s="1"/>
  <c r="K178" i="15"/>
  <c r="H178" i="15" s="1"/>
  <c r="I178" i="15" s="1"/>
  <c r="K177" i="15"/>
  <c r="H177" i="15" s="1"/>
  <c r="I177" i="15" s="1"/>
  <c r="K176" i="15"/>
  <c r="H176" i="15" s="1"/>
  <c r="I176" i="15" s="1"/>
  <c r="K175" i="15"/>
  <c r="H175" i="15" s="1"/>
  <c r="I175" i="15" s="1"/>
  <c r="K174" i="15"/>
  <c r="H174" i="15" s="1"/>
  <c r="I174" i="15" s="1"/>
  <c r="K173" i="15"/>
  <c r="K172" i="15"/>
  <c r="K171" i="15"/>
  <c r="K170" i="15"/>
  <c r="H170" i="15" s="1"/>
  <c r="I170" i="15" s="1"/>
  <c r="K169" i="15"/>
  <c r="H169" i="15" s="1"/>
  <c r="I169" i="15" s="1"/>
  <c r="K168" i="15"/>
  <c r="K167" i="15"/>
  <c r="H167" i="15" s="1"/>
  <c r="I167" i="15" s="1"/>
  <c r="K166" i="15"/>
  <c r="K165" i="15"/>
  <c r="H165" i="15" s="1"/>
  <c r="I165" i="15" s="1"/>
  <c r="K164" i="15"/>
  <c r="H164" i="15" s="1"/>
  <c r="I164" i="15" s="1"/>
  <c r="K163" i="15"/>
  <c r="H163" i="15" s="1"/>
  <c r="I163" i="15" s="1"/>
  <c r="K162" i="15"/>
  <c r="H162" i="15" s="1"/>
  <c r="I162" i="15" s="1"/>
  <c r="K161" i="15"/>
  <c r="H161" i="15" s="1"/>
  <c r="I161" i="15" s="1"/>
  <c r="K160" i="15"/>
  <c r="H160" i="15" s="1"/>
  <c r="I160" i="15" s="1"/>
  <c r="K159" i="15"/>
  <c r="H159" i="15" s="1"/>
  <c r="I159" i="15" s="1"/>
  <c r="K158" i="15"/>
  <c r="H158" i="15" s="1"/>
  <c r="I158" i="15" s="1"/>
  <c r="K157" i="15"/>
  <c r="H157" i="15" s="1"/>
  <c r="I157" i="15" s="1"/>
  <c r="K156" i="15"/>
  <c r="H156" i="15" s="1"/>
  <c r="I156" i="15" s="1"/>
  <c r="K155" i="15"/>
  <c r="H155" i="15" s="1"/>
  <c r="I155" i="15" s="1"/>
  <c r="K154" i="15"/>
  <c r="H154" i="15" s="1"/>
  <c r="I154" i="15" s="1"/>
  <c r="K153" i="15"/>
  <c r="H153" i="15" s="1"/>
  <c r="I153" i="15" s="1"/>
  <c r="K152" i="15"/>
  <c r="H152" i="15" s="1"/>
  <c r="I152" i="15" s="1"/>
  <c r="K151" i="15"/>
  <c r="H151" i="15" s="1"/>
  <c r="I151" i="15" s="1"/>
  <c r="K150" i="15"/>
  <c r="H150" i="15" s="1"/>
  <c r="I150" i="15" s="1"/>
  <c r="K149" i="15"/>
  <c r="H149" i="15" s="1"/>
  <c r="I149" i="15" s="1"/>
  <c r="K148" i="15"/>
  <c r="K147" i="15"/>
  <c r="H147" i="15" s="1"/>
  <c r="I147" i="15" s="1"/>
  <c r="K146" i="15"/>
  <c r="H146" i="15" s="1"/>
  <c r="I146" i="15" s="1"/>
  <c r="K145" i="15"/>
  <c r="K144" i="15"/>
  <c r="K143" i="15"/>
  <c r="K142" i="15"/>
  <c r="H142" i="15" s="1"/>
  <c r="I142" i="15" s="1"/>
  <c r="K141" i="15"/>
  <c r="H141" i="15" s="1"/>
  <c r="I141" i="15" s="1"/>
  <c r="K140" i="15"/>
  <c r="K139" i="15"/>
  <c r="H139" i="15" s="1"/>
  <c r="I139" i="15" s="1"/>
  <c r="K138" i="15"/>
  <c r="K137" i="15"/>
  <c r="H137" i="15" s="1"/>
  <c r="I137" i="15" s="1"/>
  <c r="K136" i="15"/>
  <c r="H136" i="15" s="1"/>
  <c r="I136" i="15" s="1"/>
  <c r="K135" i="15"/>
  <c r="H135" i="15" s="1"/>
  <c r="I135" i="15" s="1"/>
  <c r="K134" i="15"/>
  <c r="H134" i="15" s="1"/>
  <c r="I134" i="15" s="1"/>
  <c r="K133" i="15"/>
  <c r="H133" i="15" s="1"/>
  <c r="I133" i="15" s="1"/>
  <c r="K132" i="15"/>
  <c r="H132" i="15" s="1"/>
  <c r="I132" i="15" s="1"/>
  <c r="K131" i="15"/>
  <c r="H131" i="15" s="1"/>
  <c r="I131" i="15" s="1"/>
  <c r="K130" i="15"/>
  <c r="H130" i="15" s="1"/>
  <c r="I130" i="15" s="1"/>
  <c r="K129" i="15"/>
  <c r="H129" i="15" s="1"/>
  <c r="I129" i="15" s="1"/>
  <c r="K128" i="15"/>
  <c r="H128" i="15" s="1"/>
  <c r="I128" i="15" s="1"/>
  <c r="K127" i="15"/>
  <c r="H127" i="15" s="1"/>
  <c r="I127" i="15" s="1"/>
  <c r="K126" i="15"/>
  <c r="H126" i="15" s="1"/>
  <c r="I126" i="15" s="1"/>
  <c r="K125" i="15"/>
  <c r="H125" i="15" s="1"/>
  <c r="I125" i="15" s="1"/>
  <c r="K124" i="15"/>
  <c r="H124" i="15" s="1"/>
  <c r="I124" i="15" s="1"/>
  <c r="K123" i="15"/>
  <c r="H123" i="15" s="1"/>
  <c r="I123" i="15" s="1"/>
  <c r="K122" i="15"/>
  <c r="H122" i="15" s="1"/>
  <c r="I122" i="15" s="1"/>
  <c r="K121" i="15"/>
  <c r="H121" i="15" s="1"/>
  <c r="I121" i="15" s="1"/>
  <c r="K120" i="15"/>
  <c r="K119" i="15"/>
  <c r="H119" i="15" s="1"/>
  <c r="I119" i="15" s="1"/>
  <c r="K118" i="15"/>
  <c r="H118" i="15" s="1"/>
  <c r="I118" i="15" s="1"/>
  <c r="K117" i="15"/>
  <c r="K116" i="15"/>
  <c r="K115" i="15"/>
  <c r="K114" i="15"/>
  <c r="H114" i="15" s="1"/>
  <c r="I114" i="15" s="1"/>
  <c r="K113" i="15"/>
  <c r="H113" i="15" s="1"/>
  <c r="I113" i="15" s="1"/>
  <c r="K112" i="15"/>
  <c r="H112" i="15" s="1"/>
  <c r="I112" i="15" s="1"/>
  <c r="K111" i="15"/>
  <c r="H111" i="15" s="1"/>
  <c r="I111" i="15" s="1"/>
  <c r="K110" i="15"/>
  <c r="K109" i="15"/>
  <c r="H109" i="15" s="1"/>
  <c r="I109" i="15" s="1"/>
  <c r="K108" i="15"/>
  <c r="H108" i="15" s="1"/>
  <c r="I108" i="15" s="1"/>
  <c r="K107" i="15"/>
  <c r="H107" i="15" s="1"/>
  <c r="I107" i="15" s="1"/>
  <c r="K106" i="15"/>
  <c r="H106" i="15" s="1"/>
  <c r="I106" i="15" s="1"/>
  <c r="K105" i="15"/>
  <c r="H105" i="15" s="1"/>
  <c r="I105" i="15" s="1"/>
  <c r="K104" i="15"/>
  <c r="H104" i="15" s="1"/>
  <c r="I104" i="15" s="1"/>
  <c r="K103" i="15"/>
  <c r="H103" i="15" s="1"/>
  <c r="I103" i="15" s="1"/>
  <c r="K102" i="15"/>
  <c r="H102" i="15" s="1"/>
  <c r="I102" i="15" s="1"/>
  <c r="K101" i="15"/>
  <c r="H101" i="15" s="1"/>
  <c r="I101" i="15" s="1"/>
  <c r="K100" i="15"/>
  <c r="H100" i="15" s="1"/>
  <c r="I100" i="15" s="1"/>
  <c r="K99" i="15"/>
  <c r="H99" i="15" s="1"/>
  <c r="I99" i="15" s="1"/>
  <c r="K98" i="15"/>
  <c r="H98" i="15" s="1"/>
  <c r="I98" i="15" s="1"/>
  <c r="K97" i="15"/>
  <c r="H97" i="15" s="1"/>
  <c r="I97" i="15" s="1"/>
  <c r="K96" i="15"/>
  <c r="H96" i="15" s="1"/>
  <c r="I96" i="15" s="1"/>
  <c r="K95" i="15"/>
  <c r="H95" i="15" s="1"/>
  <c r="I95" i="15" s="1"/>
  <c r="K94" i="15"/>
  <c r="H94" i="15" s="1"/>
  <c r="I94" i="15" s="1"/>
  <c r="K93" i="15"/>
  <c r="H93" i="15" s="1"/>
  <c r="I93" i="15" s="1"/>
  <c r="K92" i="15"/>
  <c r="K91" i="15"/>
  <c r="H91" i="15" s="1"/>
  <c r="I91" i="15" s="1"/>
  <c r="K90" i="15"/>
  <c r="H90" i="15" s="1"/>
  <c r="I90" i="15" s="1"/>
  <c r="K89" i="15"/>
  <c r="K88" i="15"/>
  <c r="K87" i="15"/>
  <c r="K86" i="15"/>
  <c r="H86" i="15" s="1"/>
  <c r="I86" i="15" s="1"/>
  <c r="K85" i="15"/>
  <c r="H85" i="15" s="1"/>
  <c r="I85" i="15" s="1"/>
  <c r="K84" i="15"/>
  <c r="H84" i="15" s="1"/>
  <c r="I84" i="15" s="1"/>
  <c r="K83" i="15"/>
  <c r="H83" i="15" s="1"/>
  <c r="I83" i="15" s="1"/>
  <c r="K82" i="15"/>
  <c r="K81" i="15"/>
  <c r="H81" i="15" s="1"/>
  <c r="I81" i="15" s="1"/>
  <c r="K80" i="15"/>
  <c r="H80" i="15" s="1"/>
  <c r="I80" i="15" s="1"/>
  <c r="K79" i="15"/>
  <c r="H79" i="15" s="1"/>
  <c r="I79" i="15" s="1"/>
  <c r="K78" i="15"/>
  <c r="H78" i="15" s="1"/>
  <c r="I78" i="15" s="1"/>
  <c r="K77" i="15"/>
  <c r="H77" i="15" s="1"/>
  <c r="I77" i="15" s="1"/>
  <c r="K76" i="15"/>
  <c r="H76" i="15" s="1"/>
  <c r="I76" i="15" s="1"/>
  <c r="K75" i="15"/>
  <c r="H75" i="15" s="1"/>
  <c r="I75" i="15" s="1"/>
  <c r="K74" i="15"/>
  <c r="H74" i="15" s="1"/>
  <c r="I74" i="15" s="1"/>
  <c r="K73" i="15"/>
  <c r="H73" i="15" s="1"/>
  <c r="I73" i="15" s="1"/>
  <c r="K72" i="15"/>
  <c r="H72" i="15" s="1"/>
  <c r="I72" i="15" s="1"/>
  <c r="K71" i="15"/>
  <c r="H71" i="15" s="1"/>
  <c r="I71" i="15" s="1"/>
  <c r="K70" i="15"/>
  <c r="H70" i="15" s="1"/>
  <c r="I70" i="15" s="1"/>
  <c r="K69" i="15"/>
  <c r="H69" i="15" s="1"/>
  <c r="I69" i="15" s="1"/>
  <c r="K68" i="15"/>
  <c r="H68" i="15" s="1"/>
  <c r="I68" i="15" s="1"/>
  <c r="K67" i="15"/>
  <c r="H67" i="15" s="1"/>
  <c r="I67" i="15" s="1"/>
  <c r="K66" i="15"/>
  <c r="H66" i="15" s="1"/>
  <c r="I66" i="15" s="1"/>
  <c r="K65" i="15"/>
  <c r="H65" i="15" s="1"/>
  <c r="I65" i="15" s="1"/>
  <c r="K64" i="15"/>
  <c r="K63" i="15"/>
  <c r="H63" i="15" s="1"/>
  <c r="I63" i="15" s="1"/>
  <c r="D33" i="8"/>
  <c r="B7" i="15"/>
  <c r="C8" i="15"/>
  <c r="B10" i="15"/>
  <c r="H33" i="15" s="1"/>
  <c r="I33" i="15" s="1"/>
  <c r="X191" i="24" l="1"/>
  <c r="X173" i="24"/>
  <c r="I14" i="24"/>
  <c r="H62" i="24"/>
  <c r="I62" i="24" s="1"/>
  <c r="I15" i="24"/>
  <c r="H63" i="24"/>
  <c r="I63" i="24" s="1"/>
  <c r="I16" i="24"/>
  <c r="H64" i="24"/>
  <c r="I64" i="24" s="1"/>
  <c r="H23" i="24"/>
  <c r="H70" i="24"/>
  <c r="I70" i="24" s="1"/>
  <c r="X181" i="24"/>
  <c r="H17" i="24" s="1"/>
  <c r="X177" i="24"/>
  <c r="H13" i="24" s="1"/>
  <c r="X176" i="24"/>
  <c r="I12" i="24" s="1"/>
  <c r="X188" i="24"/>
  <c r="X187" i="24"/>
  <c r="I23" i="24" s="1"/>
  <c r="X186" i="24"/>
  <c r="I22" i="24" s="1"/>
  <c r="X193" i="24"/>
  <c r="X190" i="24"/>
  <c r="X182" i="24"/>
  <c r="I18" i="24" s="1"/>
  <c r="X194" i="24"/>
  <c r="X189" i="24"/>
  <c r="I9" i="24"/>
  <c r="D121" i="23"/>
  <c r="D122" i="23" s="1"/>
  <c r="D120" i="23"/>
  <c r="D152" i="23"/>
  <c r="D153" i="23"/>
  <c r="D154" i="23" s="1"/>
  <c r="J87" i="22"/>
  <c r="I88" i="22"/>
  <c r="J88" i="22" s="1"/>
  <c r="D126" i="23"/>
  <c r="D127" i="23" s="1"/>
  <c r="D125" i="23"/>
  <c r="D92" i="22"/>
  <c r="D93" i="22"/>
  <c r="D94" i="22" s="1"/>
  <c r="D98" i="22"/>
  <c r="D99" i="22" s="1"/>
  <c r="D97" i="22"/>
  <c r="D105" i="23"/>
  <c r="D106" i="23"/>
  <c r="D107" i="23" s="1"/>
  <c r="I44" i="23"/>
  <c r="J44" i="23" s="1"/>
  <c r="I45" i="23"/>
  <c r="J45" i="23" s="1"/>
  <c r="I47" i="23"/>
  <c r="J47" i="23" s="1"/>
  <c r="I60" i="22"/>
  <c r="J60" i="22" s="1"/>
  <c r="I54" i="22"/>
  <c r="J54" i="22" s="1"/>
  <c r="I57" i="22"/>
  <c r="J57" i="22" s="1"/>
  <c r="I62" i="22"/>
  <c r="J62" i="22" s="1"/>
  <c r="I63" i="22"/>
  <c r="J63" i="22" s="1"/>
  <c r="I64" i="22"/>
  <c r="J64" i="22" s="1"/>
  <c r="F78" i="22"/>
  <c r="F79" i="22"/>
  <c r="F94" i="22"/>
  <c r="F93" i="22"/>
  <c r="D72" i="22"/>
  <c r="D73" i="22"/>
  <c r="D74" i="22" s="1"/>
  <c r="J65" i="22"/>
  <c r="I66" i="22"/>
  <c r="J66" i="22" s="1"/>
  <c r="F109" i="22"/>
  <c r="F107" i="22"/>
  <c r="D82" i="22"/>
  <c r="D83" i="22"/>
  <c r="D84" i="22" s="1"/>
  <c r="J70" i="22"/>
  <c r="I71" i="22"/>
  <c r="J71" i="22" s="1"/>
  <c r="F137" i="23"/>
  <c r="F138" i="23" s="1"/>
  <c r="I131" i="23"/>
  <c r="L384" i="18"/>
  <c r="I522" i="18" s="1"/>
  <c r="J522" i="18" s="1"/>
  <c r="L365" i="18"/>
  <c r="I503" i="18" s="1"/>
  <c r="J503" i="18" s="1"/>
  <c r="I359" i="18"/>
  <c r="J359" i="18" s="1"/>
  <c r="I90" i="22"/>
  <c r="J90" i="22" s="1"/>
  <c r="D67" i="22"/>
  <c r="I95" i="22"/>
  <c r="J95" i="22" s="1"/>
  <c r="I366" i="18"/>
  <c r="J366" i="18" s="1"/>
  <c r="I324" i="18"/>
  <c r="J324" i="18" s="1"/>
  <c r="L363" i="18"/>
  <c r="I501" i="18" s="1"/>
  <c r="J501" i="18" s="1"/>
  <c r="H329" i="15"/>
  <c r="I329" i="15" s="1"/>
  <c r="I52" i="18"/>
  <c r="J52" i="18" s="1"/>
  <c r="L195" i="18"/>
  <c r="F171" i="23"/>
  <c r="I42" i="22"/>
  <c r="J42" i="22" s="1"/>
  <c r="J115" i="23"/>
  <c r="I147" i="23"/>
  <c r="J147" i="23" s="1"/>
  <c r="I45" i="22"/>
  <c r="J45" i="22" s="1"/>
  <c r="F158" i="23"/>
  <c r="I305" i="18"/>
  <c r="J305" i="18" s="1"/>
  <c r="L362" i="18"/>
  <c r="I500" i="18" s="1"/>
  <c r="J500" i="18" s="1"/>
  <c r="H301" i="15"/>
  <c r="I301" i="15" s="1"/>
  <c r="I48" i="22"/>
  <c r="J48" i="22" s="1"/>
  <c r="F153" i="23"/>
  <c r="I420" i="18"/>
  <c r="J420" i="18" s="1"/>
  <c r="H578" i="15"/>
  <c r="I578" i="15" s="1"/>
  <c r="H606" i="15"/>
  <c r="I606" i="15" s="1"/>
  <c r="H634" i="15"/>
  <c r="I634" i="15" s="1"/>
  <c r="I139" i="23"/>
  <c r="I108" i="23"/>
  <c r="J108" i="23" s="1"/>
  <c r="I382" i="18"/>
  <c r="J382" i="18" s="1"/>
  <c r="L418" i="18"/>
  <c r="I556" i="18" s="1"/>
  <c r="J556" i="18" s="1"/>
  <c r="L371" i="18"/>
  <c r="I509" i="18" s="1"/>
  <c r="J509" i="18" s="1"/>
  <c r="I365" i="18"/>
  <c r="J365" i="18" s="1"/>
  <c r="L342" i="18"/>
  <c r="I480" i="18" s="1"/>
  <c r="J480" i="18" s="1"/>
  <c r="L322" i="18"/>
  <c r="I460" i="18" s="1"/>
  <c r="J460" i="18" s="1"/>
  <c r="I110" i="23"/>
  <c r="J110" i="23" s="1"/>
  <c r="I105" i="23"/>
  <c r="J105" i="23" s="1"/>
  <c r="L370" i="18"/>
  <c r="I508" i="18" s="1"/>
  <c r="J508" i="18" s="1"/>
  <c r="I364" i="18"/>
  <c r="J364" i="18" s="1"/>
  <c r="H509" i="15"/>
  <c r="I509" i="15" s="1"/>
  <c r="F68" i="22"/>
  <c r="I51" i="22"/>
  <c r="J51" i="22" s="1"/>
  <c r="I146" i="23"/>
  <c r="J146" i="23" s="1"/>
  <c r="I48" i="23"/>
  <c r="J48" i="23" s="1"/>
  <c r="L417" i="18"/>
  <c r="I555" i="18" s="1"/>
  <c r="J555" i="18" s="1"/>
  <c r="L399" i="18"/>
  <c r="I537" i="18" s="1"/>
  <c r="J537" i="18" s="1"/>
  <c r="H56" i="15"/>
  <c r="I56" i="15" s="1"/>
  <c r="I337" i="18"/>
  <c r="J337" i="18" s="1"/>
  <c r="L425" i="18"/>
  <c r="I563" i="18" s="1"/>
  <c r="J563" i="18" s="1"/>
  <c r="L416" i="18"/>
  <c r="I554" i="18" s="1"/>
  <c r="J554" i="18" s="1"/>
  <c r="I392" i="18"/>
  <c r="J392" i="18" s="1"/>
  <c r="L398" i="18"/>
  <c r="I536" i="18" s="1"/>
  <c r="J536" i="18" s="1"/>
  <c r="L340" i="18"/>
  <c r="I478" i="18" s="1"/>
  <c r="J478" i="18" s="1"/>
  <c r="I334" i="18"/>
  <c r="J334" i="18" s="1"/>
  <c r="H54" i="15"/>
  <c r="I54" i="15" s="1"/>
  <c r="H82" i="15"/>
  <c r="I82" i="15" s="1"/>
  <c r="H110" i="15"/>
  <c r="I110" i="15" s="1"/>
  <c r="H138" i="15"/>
  <c r="I138" i="15" s="1"/>
  <c r="H166" i="15"/>
  <c r="I166" i="15" s="1"/>
  <c r="H194" i="15"/>
  <c r="I194" i="15" s="1"/>
  <c r="H222" i="15"/>
  <c r="I222" i="15" s="1"/>
  <c r="H250" i="15"/>
  <c r="I250" i="15" s="1"/>
  <c r="H278" i="15"/>
  <c r="I278" i="15" s="1"/>
  <c r="H306" i="15"/>
  <c r="I306" i="15" s="1"/>
  <c r="H334" i="15"/>
  <c r="I334" i="15" s="1"/>
  <c r="H362" i="15"/>
  <c r="I362" i="15" s="1"/>
  <c r="H390" i="15"/>
  <c r="I390" i="15" s="1"/>
  <c r="H418" i="15"/>
  <c r="I418" i="15" s="1"/>
  <c r="H446" i="15"/>
  <c r="I446" i="15" s="1"/>
  <c r="H474" i="15"/>
  <c r="I474" i="15" s="1"/>
  <c r="H502" i="15"/>
  <c r="I502" i="15" s="1"/>
  <c r="H558" i="15"/>
  <c r="I558" i="15" s="1"/>
  <c r="H586" i="15"/>
  <c r="I586" i="15" s="1"/>
  <c r="H614" i="15"/>
  <c r="I614" i="15" s="1"/>
  <c r="F84" i="22"/>
  <c r="I85" i="22"/>
  <c r="L397" i="18"/>
  <c r="I535" i="18" s="1"/>
  <c r="J535" i="18" s="1"/>
  <c r="H34" i="15"/>
  <c r="I34" i="15" s="1"/>
  <c r="I75" i="22"/>
  <c r="F141" i="23"/>
  <c r="F142" i="23" s="1"/>
  <c r="I376" i="18"/>
  <c r="J376" i="18" s="1"/>
  <c r="H140" i="15"/>
  <c r="I140" i="15" s="1"/>
  <c r="H168" i="15"/>
  <c r="I168" i="15" s="1"/>
  <c r="H196" i="15"/>
  <c r="I196" i="15" s="1"/>
  <c r="H224" i="15"/>
  <c r="I224" i="15" s="1"/>
  <c r="H252" i="15"/>
  <c r="I252" i="15" s="1"/>
  <c r="H280" i="15"/>
  <c r="I280" i="15" s="1"/>
  <c r="H308" i="15"/>
  <c r="I308" i="15" s="1"/>
  <c r="H336" i="15"/>
  <c r="I336" i="15" s="1"/>
  <c r="H364" i="15"/>
  <c r="I364" i="15" s="1"/>
  <c r="H392" i="15"/>
  <c r="I392" i="15" s="1"/>
  <c r="H420" i="15"/>
  <c r="I420" i="15" s="1"/>
  <c r="H448" i="15"/>
  <c r="I448" i="15" s="1"/>
  <c r="H476" i="15"/>
  <c r="I476" i="15" s="1"/>
  <c r="H504" i="15"/>
  <c r="I504" i="15" s="1"/>
  <c r="H532" i="15"/>
  <c r="I532" i="15" s="1"/>
  <c r="H560" i="15"/>
  <c r="I560" i="15" s="1"/>
  <c r="H588" i="15"/>
  <c r="I588" i="15" s="1"/>
  <c r="I73" i="22"/>
  <c r="J73" i="22" s="1"/>
  <c r="I148" i="23"/>
  <c r="J148" i="23" s="1"/>
  <c r="I394" i="18"/>
  <c r="J394" i="18" s="1"/>
  <c r="I335" i="18"/>
  <c r="J335" i="18" s="1"/>
  <c r="L377" i="18"/>
  <c r="I515" i="18" s="1"/>
  <c r="J515" i="18" s="1"/>
  <c r="I390" i="18"/>
  <c r="J390" i="18" s="1"/>
  <c r="L396" i="18"/>
  <c r="I534" i="18" s="1"/>
  <c r="J534" i="18" s="1"/>
  <c r="H23" i="15"/>
  <c r="I23" i="15" s="1"/>
  <c r="H37" i="15"/>
  <c r="I37" i="15" s="1"/>
  <c r="H51" i="15"/>
  <c r="I51" i="15" s="1"/>
  <c r="H32" i="15"/>
  <c r="I32" i="15" s="1"/>
  <c r="H35" i="15"/>
  <c r="I35" i="15" s="1"/>
  <c r="H20" i="15"/>
  <c r="I20" i="15" s="1"/>
  <c r="H36" i="15"/>
  <c r="I36" i="15" s="1"/>
  <c r="H52" i="15"/>
  <c r="I52" i="15" s="1"/>
  <c r="H22" i="15"/>
  <c r="I22" i="15" s="1"/>
  <c r="H38" i="15"/>
  <c r="I38" i="15" s="1"/>
  <c r="H24" i="15"/>
  <c r="I24" i="15" s="1"/>
  <c r="H55" i="15"/>
  <c r="I55" i="15" s="1"/>
  <c r="H41" i="15"/>
  <c r="I41" i="15" s="1"/>
  <c r="H43" i="15"/>
  <c r="I43" i="15" s="1"/>
  <c r="H58" i="15"/>
  <c r="I58" i="15" s="1"/>
  <c r="H16" i="15"/>
  <c r="I16" i="15" s="1"/>
  <c r="H17" i="15"/>
  <c r="I17" i="15" s="1"/>
  <c r="H39" i="15"/>
  <c r="I39" i="15" s="1"/>
  <c r="H18" i="15"/>
  <c r="I18" i="15" s="1"/>
  <c r="H40" i="15"/>
  <c r="I40" i="15" s="1"/>
  <c r="H19" i="15"/>
  <c r="I19" i="15" s="1"/>
  <c r="H42" i="15"/>
  <c r="I42" i="15" s="1"/>
  <c r="H21" i="15"/>
  <c r="I21" i="15" s="1"/>
  <c r="H44" i="15"/>
  <c r="I44" i="15" s="1"/>
  <c r="H25" i="15"/>
  <c r="I25" i="15" s="1"/>
  <c r="H45" i="15"/>
  <c r="I45" i="15" s="1"/>
  <c r="H26" i="15"/>
  <c r="I26" i="15" s="1"/>
  <c r="H46" i="15"/>
  <c r="I46" i="15" s="1"/>
  <c r="H609" i="15"/>
  <c r="I609" i="15" s="1"/>
  <c r="H568" i="15"/>
  <c r="I568" i="15" s="1"/>
  <c r="H27" i="15"/>
  <c r="I27" i="15" s="1"/>
  <c r="H47" i="15"/>
  <c r="I47" i="15" s="1"/>
  <c r="H28" i="15"/>
  <c r="I28" i="15" s="1"/>
  <c r="H48" i="15"/>
  <c r="I48" i="15" s="1"/>
  <c r="H29" i="15"/>
  <c r="I29" i="15" s="1"/>
  <c r="H49" i="15"/>
  <c r="I49" i="15" s="1"/>
  <c r="H50" i="15"/>
  <c r="I50" i="15" s="1"/>
  <c r="H30" i="15"/>
  <c r="I30" i="15" s="1"/>
  <c r="H507" i="15"/>
  <c r="I507" i="15" s="1"/>
  <c r="H31" i="15"/>
  <c r="I31" i="15" s="1"/>
  <c r="H53" i="15"/>
  <c r="I53" i="15" s="1"/>
  <c r="H484" i="15"/>
  <c r="I484" i="15" s="1"/>
  <c r="H596" i="15"/>
  <c r="I596" i="15" s="1"/>
  <c r="H57" i="15"/>
  <c r="I57" i="15" s="1"/>
  <c r="H395" i="15"/>
  <c r="I395" i="15" s="1"/>
  <c r="H479" i="15"/>
  <c r="I479" i="15" s="1"/>
  <c r="I162" i="23"/>
  <c r="J162" i="23" s="1"/>
  <c r="J80" i="22"/>
  <c r="I81" i="22"/>
  <c r="J81" i="22" s="1"/>
  <c r="I111" i="23"/>
  <c r="J111" i="23" s="1"/>
  <c r="I106" i="23"/>
  <c r="J106" i="23" s="1"/>
  <c r="H143" i="15"/>
  <c r="I143" i="15" s="1"/>
  <c r="H283" i="15"/>
  <c r="I283" i="15" s="1"/>
  <c r="H88" i="15"/>
  <c r="I88" i="15" s="1"/>
  <c r="H116" i="15"/>
  <c r="I116" i="15" s="1"/>
  <c r="H144" i="15"/>
  <c r="I144" i="15" s="1"/>
  <c r="H172" i="15"/>
  <c r="I172" i="15" s="1"/>
  <c r="H228" i="15"/>
  <c r="I228" i="15" s="1"/>
  <c r="H256" i="15"/>
  <c r="I256" i="15" s="1"/>
  <c r="H284" i="15"/>
  <c r="I284" i="15" s="1"/>
  <c r="H312" i="15"/>
  <c r="I312" i="15" s="1"/>
  <c r="H340" i="15"/>
  <c r="I340" i="15" s="1"/>
  <c r="H368" i="15"/>
  <c r="I368" i="15" s="1"/>
  <c r="H396" i="15"/>
  <c r="I396" i="15" s="1"/>
  <c r="H424" i="15"/>
  <c r="I424" i="15" s="1"/>
  <c r="H452" i="15"/>
  <c r="I452" i="15" s="1"/>
  <c r="H480" i="15"/>
  <c r="I480" i="15" s="1"/>
  <c r="H508" i="15"/>
  <c r="I508" i="15" s="1"/>
  <c r="H536" i="15"/>
  <c r="I536" i="15" s="1"/>
  <c r="H564" i="15"/>
  <c r="I564" i="15" s="1"/>
  <c r="H592" i="15"/>
  <c r="I592" i="15" s="1"/>
  <c r="H620" i="15"/>
  <c r="I620" i="15" s="1"/>
  <c r="I82" i="22"/>
  <c r="I77" i="22"/>
  <c r="D147" i="23"/>
  <c r="I352" i="18"/>
  <c r="J352" i="18" s="1"/>
  <c r="I39" i="22"/>
  <c r="J39" i="22" s="1"/>
  <c r="H171" i="15"/>
  <c r="I171" i="15" s="1"/>
  <c r="H311" i="15"/>
  <c r="I311" i="15" s="1"/>
  <c r="H367" i="15"/>
  <c r="I367" i="15" s="1"/>
  <c r="H591" i="15"/>
  <c r="I591" i="15" s="1"/>
  <c r="H89" i="15"/>
  <c r="I89" i="15" s="1"/>
  <c r="H257" i="15"/>
  <c r="I257" i="15" s="1"/>
  <c r="H313" i="15"/>
  <c r="I313" i="15" s="1"/>
  <c r="H397" i="15"/>
  <c r="I397" i="15" s="1"/>
  <c r="H481" i="15"/>
  <c r="I481" i="15" s="1"/>
  <c r="H565" i="15"/>
  <c r="I565" i="15" s="1"/>
  <c r="H593" i="15"/>
  <c r="I593" i="15" s="1"/>
  <c r="H621" i="15"/>
  <c r="I621" i="15" s="1"/>
  <c r="I331" i="18"/>
  <c r="J331" i="18" s="1"/>
  <c r="I360" i="18"/>
  <c r="J360" i="18" s="1"/>
  <c r="L366" i="18"/>
  <c r="I504" i="18" s="1"/>
  <c r="J504" i="18" s="1"/>
  <c r="L308" i="18"/>
  <c r="I446" i="18" s="1"/>
  <c r="J446" i="18" s="1"/>
  <c r="I302" i="18"/>
  <c r="J302" i="18" s="1"/>
  <c r="C16" i="22"/>
  <c r="E16" i="22" s="1"/>
  <c r="I59" i="22" s="1"/>
  <c r="J59" i="22" s="1"/>
  <c r="L356" i="18"/>
  <c r="I494" i="18" s="1"/>
  <c r="J494" i="18" s="1"/>
  <c r="I350" i="18"/>
  <c r="J350" i="18" s="1"/>
  <c r="H273" i="15"/>
  <c r="I273" i="15" s="1"/>
  <c r="H357" i="15"/>
  <c r="I357" i="15" s="1"/>
  <c r="H441" i="15"/>
  <c r="I441" i="15" s="1"/>
  <c r="H525" i="15"/>
  <c r="I525" i="15" s="1"/>
  <c r="H553" i="15"/>
  <c r="I553" i="15" s="1"/>
  <c r="H637" i="15"/>
  <c r="I637" i="15" s="1"/>
  <c r="J142" i="18"/>
  <c r="M64" i="20"/>
  <c r="M122" i="20" s="1"/>
  <c r="M63" i="20"/>
  <c r="M121" i="20" s="1"/>
  <c r="H121" i="20" s="1"/>
  <c r="I121" i="20" s="1"/>
  <c r="H87" i="15"/>
  <c r="I87" i="15" s="1"/>
  <c r="H115" i="15"/>
  <c r="I115" i="15" s="1"/>
  <c r="H199" i="15"/>
  <c r="I199" i="15" s="1"/>
  <c r="H227" i="15"/>
  <c r="I227" i="15" s="1"/>
  <c r="H255" i="15"/>
  <c r="I255" i="15" s="1"/>
  <c r="H339" i="15"/>
  <c r="I339" i="15" s="1"/>
  <c r="H423" i="15"/>
  <c r="I423" i="15" s="1"/>
  <c r="H451" i="15"/>
  <c r="I451" i="15" s="1"/>
  <c r="H535" i="15"/>
  <c r="I535" i="15" s="1"/>
  <c r="H563" i="15"/>
  <c r="I563" i="15" s="1"/>
  <c r="H619" i="15"/>
  <c r="I619" i="15" s="1"/>
  <c r="H117" i="15"/>
  <c r="I117" i="15" s="1"/>
  <c r="H145" i="15"/>
  <c r="I145" i="15" s="1"/>
  <c r="H173" i="15"/>
  <c r="I173" i="15" s="1"/>
  <c r="H201" i="15"/>
  <c r="I201" i="15" s="1"/>
  <c r="H229" i="15"/>
  <c r="I229" i="15" s="1"/>
  <c r="H285" i="15"/>
  <c r="I285" i="15" s="1"/>
  <c r="H341" i="15"/>
  <c r="I341" i="15" s="1"/>
  <c r="H369" i="15"/>
  <c r="I369" i="15" s="1"/>
  <c r="H425" i="15"/>
  <c r="I425" i="15" s="1"/>
  <c r="H453" i="15"/>
  <c r="I453" i="15" s="1"/>
  <c r="H537" i="15"/>
  <c r="I537" i="15" s="1"/>
  <c r="H64" i="15"/>
  <c r="I64" i="15" s="1"/>
  <c r="H92" i="15"/>
  <c r="I92" i="15" s="1"/>
  <c r="H120" i="15"/>
  <c r="I120" i="15" s="1"/>
  <c r="H148" i="15"/>
  <c r="I148" i="15" s="1"/>
  <c r="H232" i="15"/>
  <c r="I232" i="15" s="1"/>
  <c r="H288" i="15"/>
  <c r="I288" i="15" s="1"/>
  <c r="H316" i="15"/>
  <c r="I316" i="15" s="1"/>
  <c r="H456" i="15"/>
  <c r="I456" i="15" s="1"/>
  <c r="I253" i="18"/>
  <c r="J253" i="18" s="1"/>
  <c r="I373" i="18"/>
  <c r="J373" i="18" s="1"/>
  <c r="I341" i="18"/>
  <c r="J341" i="18" s="1"/>
  <c r="M55" i="20"/>
  <c r="M113" i="20" s="1"/>
  <c r="J73" i="18"/>
  <c r="M89" i="20"/>
  <c r="H31" i="20"/>
  <c r="I31" i="20" s="1"/>
  <c r="I153" i="25"/>
  <c r="I148" i="25"/>
  <c r="M120" i="20"/>
  <c r="H62" i="20"/>
  <c r="I62" i="20" s="1"/>
  <c r="J115" i="18"/>
  <c r="M43" i="20"/>
  <c r="M101" i="20" s="1"/>
  <c r="M44" i="20"/>
  <c r="M102" i="20" s="1"/>
  <c r="M24" i="20"/>
  <c r="J60" i="18"/>
  <c r="M71" i="20"/>
  <c r="M129" i="20" s="1"/>
  <c r="H129" i="20" s="1"/>
  <c r="I129" i="20" s="1"/>
  <c r="M70" i="20"/>
  <c r="J152" i="18"/>
  <c r="M30" i="20"/>
  <c r="J91" i="18"/>
  <c r="J109" i="18"/>
  <c r="M38" i="20"/>
  <c r="M96" i="20" s="1"/>
  <c r="T177" i="25"/>
  <c r="U177" i="25" s="1"/>
  <c r="M57" i="20"/>
  <c r="J79" i="18"/>
  <c r="M66" i="20"/>
  <c r="M124" i="20" s="1"/>
  <c r="H124" i="20" s="1"/>
  <c r="I124" i="20" s="1"/>
  <c r="J145" i="18"/>
  <c r="M68" i="20"/>
  <c r="M126" i="20" s="1"/>
  <c r="M67" i="20"/>
  <c r="M125" i="20" s="1"/>
  <c r="H125" i="20" s="1"/>
  <c r="I125" i="20" s="1"/>
  <c r="J48" i="18"/>
  <c r="M20" i="20"/>
  <c r="M78" i="20" s="1"/>
  <c r="M21" i="20"/>
  <c r="M79" i="20" s="1"/>
  <c r="H304" i="17"/>
  <c r="I304" i="17" s="1"/>
  <c r="H432" i="17"/>
  <c r="I432" i="17" s="1"/>
  <c r="H460" i="17"/>
  <c r="I460" i="17" s="1"/>
  <c r="H327" i="17"/>
  <c r="I327" i="17" s="1"/>
  <c r="H433" i="17"/>
  <c r="I433" i="17" s="1"/>
  <c r="H491" i="17"/>
  <c r="I491" i="17" s="1"/>
  <c r="H578" i="17"/>
  <c r="I578" i="17" s="1"/>
  <c r="D152" i="25"/>
  <c r="D153" i="25"/>
  <c r="D154" i="25" s="1"/>
  <c r="H307" i="17"/>
  <c r="I307" i="17" s="1"/>
  <c r="H332" i="17"/>
  <c r="I332" i="17" s="1"/>
  <c r="H437" i="17"/>
  <c r="I437" i="17" s="1"/>
  <c r="D143" i="25"/>
  <c r="D144" i="25" s="1"/>
  <c r="D142" i="25"/>
  <c r="H553" i="17"/>
  <c r="I553" i="17" s="1"/>
  <c r="H552" i="17"/>
  <c r="I552" i="17" s="1"/>
  <c r="H551" i="17"/>
  <c r="I551" i="17" s="1"/>
  <c r="H550" i="17"/>
  <c r="I550" i="17" s="1"/>
  <c r="H536" i="17"/>
  <c r="I536" i="17" s="1"/>
  <c r="H522" i="17"/>
  <c r="I522" i="17" s="1"/>
  <c r="H426" i="17"/>
  <c r="I426" i="17" s="1"/>
  <c r="H412" i="17"/>
  <c r="I412" i="17" s="1"/>
  <c r="H398" i="17"/>
  <c r="I398" i="17" s="1"/>
  <c r="H384" i="17"/>
  <c r="I384" i="17" s="1"/>
  <c r="H370" i="17"/>
  <c r="I370" i="17" s="1"/>
  <c r="H356" i="17"/>
  <c r="I356" i="17" s="1"/>
  <c r="H549" i="17"/>
  <c r="I549" i="17" s="1"/>
  <c r="H535" i="17"/>
  <c r="I535" i="17" s="1"/>
  <c r="H521" i="17"/>
  <c r="I521" i="17" s="1"/>
  <c r="H425" i="17"/>
  <c r="I425" i="17" s="1"/>
  <c r="H411" i="17"/>
  <c r="I411" i="17" s="1"/>
  <c r="H397" i="17"/>
  <c r="I397" i="17" s="1"/>
  <c r="H383" i="17"/>
  <c r="I383" i="17" s="1"/>
  <c r="H369" i="17"/>
  <c r="I369" i="17" s="1"/>
  <c r="H355" i="17"/>
  <c r="I355" i="17" s="1"/>
  <c r="H501" i="17"/>
  <c r="I501" i="17" s="1"/>
  <c r="H487" i="17"/>
  <c r="I487" i="17" s="1"/>
  <c r="H473" i="17"/>
  <c r="I473" i="17" s="1"/>
  <c r="H548" i="17"/>
  <c r="I548" i="17" s="1"/>
  <c r="H547" i="17"/>
  <c r="I547" i="17" s="1"/>
  <c r="H546" i="17"/>
  <c r="I546" i="17" s="1"/>
  <c r="H545" i="17"/>
  <c r="I545" i="17" s="1"/>
  <c r="H531" i="17"/>
  <c r="I531" i="17" s="1"/>
  <c r="H517" i="17"/>
  <c r="I517" i="17" s="1"/>
  <c r="H421" i="17"/>
  <c r="I421" i="17" s="1"/>
  <c r="H407" i="17"/>
  <c r="I407" i="17" s="1"/>
  <c r="H393" i="17"/>
  <c r="I393" i="17" s="1"/>
  <c r="H379" i="17"/>
  <c r="I379" i="17" s="1"/>
  <c r="H365" i="17"/>
  <c r="I365" i="17" s="1"/>
  <c r="H351" i="17"/>
  <c r="I351" i="17" s="1"/>
  <c r="H544" i="17"/>
  <c r="I544" i="17" s="1"/>
  <c r="H543" i="17"/>
  <c r="I543" i="17" s="1"/>
  <c r="H542" i="17"/>
  <c r="I542" i="17" s="1"/>
  <c r="H541" i="17"/>
  <c r="I541" i="17" s="1"/>
  <c r="H540" i="17"/>
  <c r="I540" i="17" s="1"/>
  <c r="H539" i="17"/>
  <c r="I539" i="17" s="1"/>
  <c r="H519" i="17"/>
  <c r="I519" i="17" s="1"/>
  <c r="H401" i="17"/>
  <c r="I401" i="17" s="1"/>
  <c r="H381" i="17"/>
  <c r="I381" i="17" s="1"/>
  <c r="H538" i="17"/>
  <c r="I538" i="17" s="1"/>
  <c r="H418" i="17"/>
  <c r="I418" i="17" s="1"/>
  <c r="H400" i="17"/>
  <c r="I400" i="17" s="1"/>
  <c r="H362" i="17"/>
  <c r="I362" i="17" s="1"/>
  <c r="H537" i="17"/>
  <c r="I537" i="17" s="1"/>
  <c r="H518" i="17"/>
  <c r="I518" i="17" s="1"/>
  <c r="H399" i="17"/>
  <c r="I399" i="17" s="1"/>
  <c r="H380" i="17"/>
  <c r="I380" i="17" s="1"/>
  <c r="H586" i="17"/>
  <c r="I586" i="17" s="1"/>
  <c r="H557" i="17"/>
  <c r="I557" i="17" s="1"/>
  <c r="H495" i="17"/>
  <c r="I495" i="17" s="1"/>
  <c r="H338" i="17"/>
  <c r="I338" i="17" s="1"/>
  <c r="H324" i="17"/>
  <c r="I324" i="17" s="1"/>
  <c r="H310" i="17"/>
  <c r="I310" i="17" s="1"/>
  <c r="H300" i="17"/>
  <c r="I300" i="17" s="1"/>
  <c r="H286" i="17"/>
  <c r="I286" i="17" s="1"/>
  <c r="H272" i="17"/>
  <c r="I272" i="17" s="1"/>
  <c r="H417" i="17"/>
  <c r="I417" i="17" s="1"/>
  <c r="H361" i="17"/>
  <c r="I361" i="17" s="1"/>
  <c r="H516" i="17"/>
  <c r="I516" i="17" s="1"/>
  <c r="H378" i="17"/>
  <c r="I378" i="17" s="1"/>
  <c r="H534" i="17"/>
  <c r="I534" i="17" s="1"/>
  <c r="H416" i="17"/>
  <c r="I416" i="17" s="1"/>
  <c r="H396" i="17"/>
  <c r="I396" i="17" s="1"/>
  <c r="H360" i="17"/>
  <c r="I360" i="17" s="1"/>
  <c r="H515" i="17"/>
  <c r="I515" i="17" s="1"/>
  <c r="H377" i="17"/>
  <c r="I377" i="17" s="1"/>
  <c r="H533" i="17"/>
  <c r="I533" i="17" s="1"/>
  <c r="H415" i="17"/>
  <c r="I415" i="17" s="1"/>
  <c r="H395" i="17"/>
  <c r="I395" i="17" s="1"/>
  <c r="H359" i="17"/>
  <c r="I359" i="17" s="1"/>
  <c r="H514" i="17"/>
  <c r="I514" i="17" s="1"/>
  <c r="H414" i="17"/>
  <c r="I414" i="17" s="1"/>
  <c r="H376" i="17"/>
  <c r="I376" i="17" s="1"/>
  <c r="H358" i="17"/>
  <c r="I358" i="17" s="1"/>
  <c r="H583" i="17"/>
  <c r="I583" i="17" s="1"/>
  <c r="H554" i="17"/>
  <c r="I554" i="17" s="1"/>
  <c r="H492" i="17"/>
  <c r="I492" i="17" s="1"/>
  <c r="H431" i="17"/>
  <c r="I431" i="17" s="1"/>
  <c r="H335" i="17"/>
  <c r="I335" i="17" s="1"/>
  <c r="H321" i="17"/>
  <c r="I321" i="17" s="1"/>
  <c r="H297" i="17"/>
  <c r="I297" i="17" s="1"/>
  <c r="H283" i="17"/>
  <c r="I283" i="17" s="1"/>
  <c r="H269" i="17"/>
  <c r="I269" i="17" s="1"/>
  <c r="H532" i="17"/>
  <c r="I532" i="17" s="1"/>
  <c r="H413" i="17"/>
  <c r="I413" i="17" s="1"/>
  <c r="H394" i="17"/>
  <c r="I394" i="17" s="1"/>
  <c r="H357" i="17"/>
  <c r="I357" i="17" s="1"/>
  <c r="H568" i="17"/>
  <c r="I568" i="17" s="1"/>
  <c r="H506" i="17"/>
  <c r="I506" i="17" s="1"/>
  <c r="H477" i="17"/>
  <c r="I477" i="17" s="1"/>
  <c r="H457" i="17"/>
  <c r="I457" i="17" s="1"/>
  <c r="H443" i="17"/>
  <c r="I443" i="17" s="1"/>
  <c r="H513" i="17"/>
  <c r="I513" i="17" s="1"/>
  <c r="H375" i="17"/>
  <c r="I375" i="17" s="1"/>
  <c r="H530" i="17"/>
  <c r="I530" i="17" s="1"/>
  <c r="H392" i="17"/>
  <c r="I392" i="17" s="1"/>
  <c r="H430" i="17"/>
  <c r="I430" i="17" s="1"/>
  <c r="H410" i="17"/>
  <c r="I410" i="17" s="1"/>
  <c r="H374" i="17"/>
  <c r="I374" i="17" s="1"/>
  <c r="H354" i="17"/>
  <c r="I354" i="17" s="1"/>
  <c r="H581" i="17"/>
  <c r="I581" i="17" s="1"/>
  <c r="H490" i="17"/>
  <c r="I490" i="17" s="1"/>
  <c r="H470" i="17"/>
  <c r="I470" i="17" s="1"/>
  <c r="H347" i="17"/>
  <c r="I347" i="17" s="1"/>
  <c r="H333" i="17"/>
  <c r="I333" i="17" s="1"/>
  <c r="H319" i="17"/>
  <c r="I319" i="17" s="1"/>
  <c r="H529" i="17"/>
  <c r="I529" i="17" s="1"/>
  <c r="H391" i="17"/>
  <c r="I391" i="17" s="1"/>
  <c r="H566" i="17"/>
  <c r="I566" i="17" s="1"/>
  <c r="H504" i="17"/>
  <c r="I504" i="17" s="1"/>
  <c r="H475" i="17"/>
  <c r="I475" i="17" s="1"/>
  <c r="H429" i="17"/>
  <c r="I429" i="17" s="1"/>
  <c r="H409" i="17"/>
  <c r="I409" i="17" s="1"/>
  <c r="H373" i="17"/>
  <c r="I373" i="17" s="1"/>
  <c r="H353" i="17"/>
  <c r="I353" i="17" s="1"/>
  <c r="H528" i="17"/>
  <c r="I528" i="17" s="1"/>
  <c r="H428" i="17"/>
  <c r="I428" i="17" s="1"/>
  <c r="H390" i="17"/>
  <c r="I390" i="17" s="1"/>
  <c r="H372" i="17"/>
  <c r="I372" i="17" s="1"/>
  <c r="H427" i="17"/>
  <c r="I427" i="17" s="1"/>
  <c r="H408" i="17"/>
  <c r="I408" i="17" s="1"/>
  <c r="H371" i="17"/>
  <c r="I371" i="17" s="1"/>
  <c r="H352" i="17"/>
  <c r="I352" i="17" s="1"/>
  <c r="H527" i="17"/>
  <c r="I527" i="17" s="1"/>
  <c r="H389" i="17"/>
  <c r="I389" i="17" s="1"/>
  <c r="H593" i="17"/>
  <c r="I593" i="17" s="1"/>
  <c r="H564" i="17"/>
  <c r="I564" i="17" s="1"/>
  <c r="H502" i="17"/>
  <c r="I502" i="17" s="1"/>
  <c r="H467" i="17"/>
  <c r="I467" i="17" s="1"/>
  <c r="H453" i="17"/>
  <c r="I453" i="17" s="1"/>
  <c r="H439" i="17"/>
  <c r="I439" i="17" s="1"/>
  <c r="H406" i="17"/>
  <c r="I406" i="17" s="1"/>
  <c r="H350" i="17"/>
  <c r="I350" i="17" s="1"/>
  <c r="H526" i="17"/>
  <c r="I526" i="17" s="1"/>
  <c r="H424" i="17"/>
  <c r="I424" i="17" s="1"/>
  <c r="H388" i="17"/>
  <c r="I388" i="17" s="1"/>
  <c r="H368" i="17"/>
  <c r="I368" i="17" s="1"/>
  <c r="H405" i="17"/>
  <c r="I405" i="17" s="1"/>
  <c r="H349" i="17"/>
  <c r="I349" i="17" s="1"/>
  <c r="H524" i="17"/>
  <c r="I524" i="17" s="1"/>
  <c r="H404" i="17"/>
  <c r="I404" i="17" s="1"/>
  <c r="H386" i="17"/>
  <c r="I386" i="17" s="1"/>
  <c r="H523" i="17"/>
  <c r="I523" i="17" s="1"/>
  <c r="H422" i="17"/>
  <c r="I422" i="17" s="1"/>
  <c r="H385" i="17"/>
  <c r="I385" i="17" s="1"/>
  <c r="H366" i="17"/>
  <c r="I366" i="17" s="1"/>
  <c r="H590" i="17"/>
  <c r="I590" i="17" s="1"/>
  <c r="H575" i="17"/>
  <c r="I575" i="17" s="1"/>
  <c r="H484" i="17"/>
  <c r="I484" i="17" s="1"/>
  <c r="H464" i="17"/>
  <c r="I464" i="17" s="1"/>
  <c r="H450" i="17"/>
  <c r="I450" i="17" s="1"/>
  <c r="H436" i="17"/>
  <c r="I436" i="17" s="1"/>
  <c r="H403" i="17"/>
  <c r="I403" i="17" s="1"/>
  <c r="H520" i="17"/>
  <c r="I520" i="17" s="1"/>
  <c r="H402" i="17"/>
  <c r="I402" i="17" s="1"/>
  <c r="H382" i="17"/>
  <c r="I382" i="17" s="1"/>
  <c r="H588" i="17"/>
  <c r="I588" i="17" s="1"/>
  <c r="H559" i="17"/>
  <c r="I559" i="17" s="1"/>
  <c r="H497" i="17"/>
  <c r="I497" i="17" s="1"/>
  <c r="H419" i="17"/>
  <c r="I419" i="17" s="1"/>
  <c r="H363" i="17"/>
  <c r="I363" i="17" s="1"/>
  <c r="H573" i="17"/>
  <c r="I573" i="17" s="1"/>
  <c r="H511" i="17"/>
  <c r="I511" i="17" s="1"/>
  <c r="H482" i="17"/>
  <c r="I482" i="17" s="1"/>
  <c r="H525" i="17"/>
  <c r="I525" i="17" s="1"/>
  <c r="H569" i="17"/>
  <c r="I569" i="17" s="1"/>
  <c r="H510" i="17"/>
  <c r="I510" i="17" s="1"/>
  <c r="H589" i="17"/>
  <c r="I589" i="17" s="1"/>
  <c r="H509" i="17"/>
  <c r="I509" i="17" s="1"/>
  <c r="H488" i="17"/>
  <c r="I488" i="17" s="1"/>
  <c r="H456" i="17"/>
  <c r="I456" i="17" s="1"/>
  <c r="H438" i="17"/>
  <c r="I438" i="17" s="1"/>
  <c r="H341" i="17"/>
  <c r="I341" i="17" s="1"/>
  <c r="H423" i="17"/>
  <c r="I423" i="17" s="1"/>
  <c r="H567" i="17"/>
  <c r="I567" i="17" s="1"/>
  <c r="H455" i="17"/>
  <c r="I455" i="17" s="1"/>
  <c r="H323" i="17"/>
  <c r="I323" i="17" s="1"/>
  <c r="H420" i="17"/>
  <c r="I420" i="17" s="1"/>
  <c r="H587" i="17"/>
  <c r="I587" i="17" s="1"/>
  <c r="H508" i="17"/>
  <c r="I508" i="17" s="1"/>
  <c r="H486" i="17"/>
  <c r="I486" i="17" s="1"/>
  <c r="H507" i="17"/>
  <c r="I507" i="17" s="1"/>
  <c r="H485" i="17"/>
  <c r="I485" i="17" s="1"/>
  <c r="H339" i="17"/>
  <c r="I339" i="17" s="1"/>
  <c r="H387" i="17"/>
  <c r="I387" i="17" s="1"/>
  <c r="H367" i="17"/>
  <c r="I367" i="17" s="1"/>
  <c r="H584" i="17"/>
  <c r="I584" i="17" s="1"/>
  <c r="H483" i="17"/>
  <c r="I483" i="17" s="1"/>
  <c r="H434" i="17"/>
  <c r="I434" i="17" s="1"/>
  <c r="H337" i="17"/>
  <c r="I337" i="17" s="1"/>
  <c r="H302" i="17"/>
  <c r="I302" i="17" s="1"/>
  <c r="H364" i="17"/>
  <c r="I364" i="17" s="1"/>
  <c r="H562" i="17"/>
  <c r="I562" i="17" s="1"/>
  <c r="H503" i="17"/>
  <c r="I503" i="17" s="1"/>
  <c r="H469" i="17"/>
  <c r="I469" i="17" s="1"/>
  <c r="H451" i="17"/>
  <c r="I451" i="17" s="1"/>
  <c r="H318" i="17"/>
  <c r="I318" i="17" s="1"/>
  <c r="H285" i="17"/>
  <c r="I285" i="17" s="1"/>
  <c r="H268" i="17"/>
  <c r="I268" i="17" s="1"/>
  <c r="H560" i="17"/>
  <c r="I560" i="17" s="1"/>
  <c r="H480" i="17"/>
  <c r="I480" i="17" s="1"/>
  <c r="H558" i="17"/>
  <c r="I558" i="17" s="1"/>
  <c r="H500" i="17"/>
  <c r="I500" i="17" s="1"/>
  <c r="H479" i="17"/>
  <c r="I479" i="17" s="1"/>
  <c r="H579" i="17"/>
  <c r="I579" i="17" s="1"/>
  <c r="H466" i="17"/>
  <c r="I466" i="17" s="1"/>
  <c r="H448" i="17"/>
  <c r="I448" i="17" s="1"/>
  <c r="H315" i="17"/>
  <c r="I315" i="17" s="1"/>
  <c r="H556" i="17"/>
  <c r="I556" i="17" s="1"/>
  <c r="H498" i="17"/>
  <c r="I498" i="17" s="1"/>
  <c r="H465" i="17"/>
  <c r="I465" i="17" s="1"/>
  <c r="H447" i="17"/>
  <c r="I447" i="17" s="1"/>
  <c r="H314" i="17"/>
  <c r="I314" i="17" s="1"/>
  <c r="H577" i="17"/>
  <c r="I577" i="17" s="1"/>
  <c r="H476" i="17"/>
  <c r="I476" i="17" s="1"/>
  <c r="H446" i="17"/>
  <c r="I446" i="17" s="1"/>
  <c r="H331" i="17"/>
  <c r="I331" i="17" s="1"/>
  <c r="H313" i="17"/>
  <c r="I313" i="17" s="1"/>
  <c r="H576" i="17"/>
  <c r="I576" i="17" s="1"/>
  <c r="H474" i="17"/>
  <c r="I474" i="17" s="1"/>
  <c r="H463" i="17"/>
  <c r="I463" i="17" s="1"/>
  <c r="H445" i="17"/>
  <c r="I445" i="17" s="1"/>
  <c r="H312" i="17"/>
  <c r="I312" i="17" s="1"/>
  <c r="H295" i="17"/>
  <c r="I295" i="17" s="1"/>
  <c r="H279" i="17"/>
  <c r="I279" i="17" s="1"/>
  <c r="H594" i="17"/>
  <c r="I594" i="17" s="1"/>
  <c r="H461" i="17"/>
  <c r="I461" i="17" s="1"/>
  <c r="H328" i="17"/>
  <c r="I328" i="17" s="1"/>
  <c r="H334" i="17"/>
  <c r="I334" i="17" s="1"/>
  <c r="H468" i="17"/>
  <c r="I468" i="17" s="1"/>
  <c r="H496" i="17"/>
  <c r="I496" i="17" s="1"/>
  <c r="H499" i="17"/>
  <c r="I499" i="17" s="1"/>
  <c r="H591" i="17"/>
  <c r="I591" i="17" s="1"/>
  <c r="H592" i="17"/>
  <c r="I592" i="17" s="1"/>
  <c r="H271" i="17"/>
  <c r="I271" i="17" s="1"/>
  <c r="H290" i="17"/>
  <c r="I290" i="17" s="1"/>
  <c r="H309" i="17"/>
  <c r="I309" i="17" s="1"/>
  <c r="H441" i="17"/>
  <c r="I441" i="17" s="1"/>
  <c r="H505" i="17"/>
  <c r="I505" i="17" s="1"/>
  <c r="H442" i="17"/>
  <c r="I442" i="17" s="1"/>
  <c r="H133" i="20"/>
  <c r="I133" i="20" s="1"/>
  <c r="H111" i="20"/>
  <c r="I111" i="20" s="1"/>
  <c r="H77" i="20"/>
  <c r="I77" i="20" s="1"/>
  <c r="H143" i="20"/>
  <c r="I143" i="20" s="1"/>
  <c r="H107" i="20"/>
  <c r="I107" i="20" s="1"/>
  <c r="H131" i="20"/>
  <c r="I131" i="20" s="1"/>
  <c r="H80" i="20"/>
  <c r="I80" i="20" s="1"/>
  <c r="H169" i="20"/>
  <c r="I169" i="20" s="1"/>
  <c r="H161" i="20"/>
  <c r="I161" i="20" s="1"/>
  <c r="H170" i="20"/>
  <c r="I170" i="20" s="1"/>
  <c r="H144" i="20"/>
  <c r="I144" i="20" s="1"/>
  <c r="H104" i="20"/>
  <c r="I104" i="20" s="1"/>
  <c r="H91" i="20"/>
  <c r="I91" i="20" s="1"/>
  <c r="H122" i="20"/>
  <c r="I122" i="20" s="1"/>
  <c r="H116" i="20"/>
  <c r="I116" i="20" s="1"/>
  <c r="H157" i="20"/>
  <c r="I157" i="20" s="1"/>
  <c r="H142" i="20"/>
  <c r="I142" i="20" s="1"/>
  <c r="H175" i="20"/>
  <c r="I175" i="20" s="1"/>
  <c r="H127" i="20"/>
  <c r="I127" i="20" s="1"/>
  <c r="H58" i="20"/>
  <c r="I58" i="20" s="1"/>
  <c r="H155" i="20"/>
  <c r="I155" i="20" s="1"/>
  <c r="H50" i="20"/>
  <c r="I50" i="20" s="1"/>
  <c r="H145" i="20"/>
  <c r="I145" i="20" s="1"/>
  <c r="H176" i="20"/>
  <c r="I176" i="20" s="1"/>
  <c r="H112" i="20"/>
  <c r="I112" i="20" s="1"/>
  <c r="H27" i="20"/>
  <c r="I27" i="20" s="1"/>
  <c r="H164" i="20"/>
  <c r="I164" i="20" s="1"/>
  <c r="H152" i="20"/>
  <c r="I152" i="20" s="1"/>
  <c r="H123" i="20"/>
  <c r="I123" i="20" s="1"/>
  <c r="H97" i="20"/>
  <c r="I97" i="20" s="1"/>
  <c r="H84" i="20"/>
  <c r="I84" i="20" s="1"/>
  <c r="H136" i="20"/>
  <c r="I136" i="20" s="1"/>
  <c r="H55" i="20"/>
  <c r="I55" i="20" s="1"/>
  <c r="H120" i="20"/>
  <c r="I120" i="20" s="1"/>
  <c r="H137" i="20"/>
  <c r="I137" i="20" s="1"/>
  <c r="H182" i="20"/>
  <c r="I182" i="20" s="1"/>
  <c r="H147" i="20"/>
  <c r="I147" i="20" s="1"/>
  <c r="H119" i="20"/>
  <c r="I119" i="20" s="1"/>
  <c r="H72" i="20"/>
  <c r="I72" i="20" s="1"/>
  <c r="H43" i="20"/>
  <c r="I43" i="20" s="1"/>
  <c r="H81" i="20"/>
  <c r="I81" i="20" s="1"/>
  <c r="H171" i="20"/>
  <c r="I171" i="20" s="1"/>
  <c r="H53" i="20"/>
  <c r="I53" i="20" s="1"/>
  <c r="H99" i="20"/>
  <c r="I99" i="20" s="1"/>
  <c r="H165" i="20"/>
  <c r="I165" i="20" s="1"/>
  <c r="H75" i="20"/>
  <c r="I75" i="20" s="1"/>
  <c r="U59" i="20"/>
  <c r="V59" i="20" s="1"/>
  <c r="H41" i="20"/>
  <c r="I41" i="20" s="1"/>
  <c r="H46" i="20"/>
  <c r="I46" i="20" s="1"/>
  <c r="H95" i="20"/>
  <c r="I95" i="20" s="1"/>
  <c r="H139" i="20"/>
  <c r="I139" i="20" s="1"/>
  <c r="H38" i="20"/>
  <c r="I38" i="20" s="1"/>
  <c r="H185" i="20"/>
  <c r="I185" i="20" s="1"/>
  <c r="U72" i="20"/>
  <c r="V72" i="20" s="1"/>
  <c r="H173" i="20"/>
  <c r="I173" i="20" s="1"/>
  <c r="H28" i="20"/>
  <c r="I28" i="20" s="1"/>
  <c r="H150" i="20"/>
  <c r="I150" i="20" s="1"/>
  <c r="H183" i="20"/>
  <c r="I183" i="20" s="1"/>
  <c r="H135" i="20"/>
  <c r="I135" i="20" s="1"/>
  <c r="H39" i="20"/>
  <c r="I39" i="20" s="1"/>
  <c r="H156" i="20"/>
  <c r="I156" i="20" s="1"/>
  <c r="H126" i="20"/>
  <c r="I126" i="20" s="1"/>
  <c r="H132" i="20"/>
  <c r="I132" i="20" s="1"/>
  <c r="H54" i="20"/>
  <c r="I54" i="20" s="1"/>
  <c r="H590" i="16"/>
  <c r="I590" i="16" s="1"/>
  <c r="H291" i="17"/>
  <c r="I291" i="17" s="1"/>
  <c r="H311" i="17"/>
  <c r="I311" i="17" s="1"/>
  <c r="H340" i="17"/>
  <c r="I340" i="17" s="1"/>
  <c r="H444" i="17"/>
  <c r="I444" i="17" s="1"/>
  <c r="H273" i="17"/>
  <c r="I273" i="17" s="1"/>
  <c r="H342" i="17"/>
  <c r="I342" i="17" s="1"/>
  <c r="E56" i="25"/>
  <c r="I141" i="25" s="1"/>
  <c r="C86" i="25"/>
  <c r="E86" i="25" s="1"/>
  <c r="H292" i="17"/>
  <c r="I292" i="17" s="1"/>
  <c r="H512" i="17"/>
  <c r="I512" i="17" s="1"/>
  <c r="H555" i="17"/>
  <c r="I555" i="17" s="1"/>
  <c r="M48" i="20"/>
  <c r="M47" i="20"/>
  <c r="E74" i="25"/>
  <c r="C104" i="25"/>
  <c r="E104" i="25" s="1"/>
  <c r="J147" i="25" s="1"/>
  <c r="H317" i="17"/>
  <c r="I317" i="17" s="1"/>
  <c r="H344" i="17"/>
  <c r="I344" i="17" s="1"/>
  <c r="H561" i="17"/>
  <c r="I561" i="17" s="1"/>
  <c r="M52" i="20"/>
  <c r="M110" i="20" s="1"/>
  <c r="J66" i="18"/>
  <c r="I140" i="25"/>
  <c r="I145" i="25"/>
  <c r="H180" i="20"/>
  <c r="I180" i="20" s="1"/>
  <c r="H345" i="17"/>
  <c r="I345" i="17" s="1"/>
  <c r="H472" i="17"/>
  <c r="I472" i="17" s="1"/>
  <c r="H563" i="17"/>
  <c r="I563" i="17" s="1"/>
  <c r="H60" i="20"/>
  <c r="I60" i="20" s="1"/>
  <c r="E72" i="25"/>
  <c r="C102" i="25"/>
  <c r="E102" i="25" s="1"/>
  <c r="J142" i="25" s="1"/>
  <c r="H276" i="17"/>
  <c r="I276" i="17" s="1"/>
  <c r="H346" i="17"/>
  <c r="I346" i="17" s="1"/>
  <c r="H452" i="17"/>
  <c r="I452" i="17" s="1"/>
  <c r="U60" i="20"/>
  <c r="V60" i="20" s="1"/>
  <c r="H589" i="16"/>
  <c r="I589" i="16" s="1"/>
  <c r="H384" i="16"/>
  <c r="I384" i="16" s="1"/>
  <c r="H320" i="17"/>
  <c r="I320" i="17" s="1"/>
  <c r="M32" i="20"/>
  <c r="M90" i="20" s="1"/>
  <c r="H90" i="20" s="1"/>
  <c r="I90" i="20" s="1"/>
  <c r="J103" i="18"/>
  <c r="H565" i="17"/>
  <c r="I565" i="17" s="1"/>
  <c r="M51" i="20"/>
  <c r="M109" i="20" s="1"/>
  <c r="H109" i="20" s="1"/>
  <c r="I109" i="20" s="1"/>
  <c r="H174" i="20"/>
  <c r="I174" i="20" s="1"/>
  <c r="H277" i="17"/>
  <c r="I277" i="17" s="1"/>
  <c r="H298" i="17"/>
  <c r="I298" i="17" s="1"/>
  <c r="H322" i="17"/>
  <c r="I322" i="17" s="1"/>
  <c r="H348" i="17"/>
  <c r="I348" i="17" s="1"/>
  <c r="H454" i="17"/>
  <c r="I454" i="17" s="1"/>
  <c r="H478" i="17"/>
  <c r="I478" i="17" s="1"/>
  <c r="H59" i="20"/>
  <c r="I59" i="20" s="1"/>
  <c r="H299" i="17"/>
  <c r="I299" i="17" s="1"/>
  <c r="H570" i="17"/>
  <c r="I570" i="17" s="1"/>
  <c r="H278" i="17"/>
  <c r="I278" i="17" s="1"/>
  <c r="H44" i="20"/>
  <c r="I44" i="20" s="1"/>
  <c r="H481" i="17"/>
  <c r="I481" i="17" s="1"/>
  <c r="H21" i="20"/>
  <c r="I21" i="20" s="1"/>
  <c r="T176" i="25"/>
  <c r="U176" i="25" s="1"/>
  <c r="C84" i="25"/>
  <c r="E84" i="25" s="1"/>
  <c r="E54" i="25"/>
  <c r="I150" i="25" s="1"/>
  <c r="H108" i="20"/>
  <c r="I108" i="20" s="1"/>
  <c r="H130" i="20"/>
  <c r="I130" i="20" s="1"/>
  <c r="H153" i="20"/>
  <c r="I153" i="20" s="1"/>
  <c r="H177" i="20"/>
  <c r="I177" i="20" s="1"/>
  <c r="H85" i="20"/>
  <c r="I85" i="20" s="1"/>
  <c r="H86" i="20"/>
  <c r="I86" i="20" s="1"/>
  <c r="H110" i="20"/>
  <c r="I110" i="20" s="1"/>
  <c r="H87" i="20"/>
  <c r="I87" i="20" s="1"/>
  <c r="H181" i="20"/>
  <c r="I181" i="20" s="1"/>
  <c r="K10" i="26"/>
  <c r="H29" i="20"/>
  <c r="I29" i="20" s="1"/>
  <c r="H134" i="20"/>
  <c r="I134" i="20" s="1"/>
  <c r="H113" i="20"/>
  <c r="I113" i="20" s="1"/>
  <c r="H89" i="20"/>
  <c r="I89" i="20" s="1"/>
  <c r="H114" i="20"/>
  <c r="I114" i="20" s="1"/>
  <c r="H158" i="20"/>
  <c r="I158" i="20" s="1"/>
  <c r="H34" i="20"/>
  <c r="I34" i="20" s="1"/>
  <c r="H159" i="20"/>
  <c r="I159" i="20" s="1"/>
  <c r="H184" i="20"/>
  <c r="I184" i="20" s="1"/>
  <c r="K33" i="26"/>
  <c r="K11" i="26"/>
  <c r="K12" i="26"/>
  <c r="K15" i="26"/>
  <c r="K20" i="26"/>
  <c r="K26" i="26"/>
  <c r="H160" i="20"/>
  <c r="I160" i="20" s="1"/>
  <c r="K30" i="26"/>
  <c r="C109" i="25"/>
  <c r="E109" i="25" s="1"/>
  <c r="C94" i="25"/>
  <c r="E94" i="25" s="1"/>
  <c r="E64" i="25"/>
  <c r="H92" i="20"/>
  <c r="I92" i="20" s="1"/>
  <c r="H117" i="20"/>
  <c r="I117" i="20" s="1"/>
  <c r="H138" i="20"/>
  <c r="I138" i="20" s="1"/>
  <c r="K29" i="26"/>
  <c r="H63" i="20"/>
  <c r="I63" i="20" s="1"/>
  <c r="E63" i="25"/>
  <c r="H93" i="20"/>
  <c r="I93" i="20" s="1"/>
  <c r="H94" i="20"/>
  <c r="I94" i="20" s="1"/>
  <c r="H163" i="20"/>
  <c r="I163" i="20" s="1"/>
  <c r="H140" i="20"/>
  <c r="I140" i="20" s="1"/>
  <c r="H187" i="20"/>
  <c r="I187" i="20" s="1"/>
  <c r="I138" i="25"/>
  <c r="H141" i="20"/>
  <c r="I141" i="20" s="1"/>
  <c r="H188" i="20"/>
  <c r="I188" i="20" s="1"/>
  <c r="K24" i="26"/>
  <c r="J128" i="25"/>
  <c r="E61" i="25"/>
  <c r="I151" i="25" s="1"/>
  <c r="H166" i="20"/>
  <c r="I166" i="20" s="1"/>
  <c r="H189" i="20"/>
  <c r="I189" i="20" s="1"/>
  <c r="K23" i="26"/>
  <c r="I128" i="25"/>
  <c r="C103" i="25"/>
  <c r="E103" i="25" s="1"/>
  <c r="E80" i="25"/>
  <c r="C110" i="25"/>
  <c r="E110" i="25" s="1"/>
  <c r="H167" i="20"/>
  <c r="I167" i="20" s="1"/>
  <c r="H76" i="20"/>
  <c r="I76" i="20" s="1"/>
  <c r="H168" i="20"/>
  <c r="I168" i="20" s="1"/>
  <c r="K19" i="26"/>
  <c r="E59" i="25"/>
  <c r="H146" i="20"/>
  <c r="I146" i="20" s="1"/>
  <c r="C107" i="25"/>
  <c r="E107" i="25" s="1"/>
  <c r="J152" i="25" s="1"/>
  <c r="E77" i="25"/>
  <c r="H78" i="20"/>
  <c r="I78" i="20" s="1"/>
  <c r="H33" i="20"/>
  <c r="I33" i="20" s="1"/>
  <c r="H101" i="20"/>
  <c r="I101" i="20" s="1"/>
  <c r="H148" i="20"/>
  <c r="I148" i="20" s="1"/>
  <c r="C98" i="25"/>
  <c r="E98" i="25" s="1"/>
  <c r="H102" i="20"/>
  <c r="I102" i="20" s="1"/>
  <c r="H32" i="20"/>
  <c r="I32" i="20" s="1"/>
  <c r="H20" i="20"/>
  <c r="I20" i="20" s="1"/>
  <c r="I125" i="25"/>
  <c r="H103" i="20"/>
  <c r="I103" i="20" s="1"/>
  <c r="H172" i="20"/>
  <c r="I172" i="20" s="1"/>
  <c r="H52" i="20"/>
  <c r="I52" i="20" s="1"/>
  <c r="H162" i="20"/>
  <c r="I162" i="20" s="1"/>
  <c r="H149" i="20"/>
  <c r="I149" i="20" s="1"/>
  <c r="X195" i="24"/>
  <c r="C100" i="25"/>
  <c r="E100" i="25" s="1"/>
  <c r="H96" i="20"/>
  <c r="I96" i="20" s="1"/>
  <c r="H186" i="20"/>
  <c r="I186" i="20" s="1"/>
  <c r="H587" i="16"/>
  <c r="I587" i="16" s="1"/>
  <c r="H98" i="20"/>
  <c r="I98" i="20" s="1"/>
  <c r="X192" i="24"/>
  <c r="H74" i="20"/>
  <c r="I74" i="20" s="1"/>
  <c r="H100" i="20"/>
  <c r="I100" i="20" s="1"/>
  <c r="H178" i="20"/>
  <c r="I178" i="20" s="1"/>
  <c r="H79" i="20"/>
  <c r="I79" i="20" s="1"/>
  <c r="H179" i="20"/>
  <c r="I179" i="20" s="1"/>
  <c r="H118" i="20"/>
  <c r="I118" i="20" s="1"/>
  <c r="I13" i="24" l="1"/>
  <c r="H61" i="24"/>
  <c r="I61" i="24" s="1"/>
  <c r="I17" i="24"/>
  <c r="H65" i="24"/>
  <c r="I65" i="24" s="1"/>
  <c r="H24" i="24"/>
  <c r="I24" i="24" s="1"/>
  <c r="H71" i="24"/>
  <c r="I71" i="24" s="1"/>
  <c r="L339" i="18"/>
  <c r="I477" i="18" s="1"/>
  <c r="J477" i="18" s="1"/>
  <c r="I333" i="18"/>
  <c r="J333" i="18" s="1"/>
  <c r="M115" i="20"/>
  <c r="H115" i="20" s="1"/>
  <c r="I115" i="20" s="1"/>
  <c r="H57" i="20"/>
  <c r="I57" i="20" s="1"/>
  <c r="H64" i="20"/>
  <c r="I64" i="20" s="1"/>
  <c r="J77" i="22"/>
  <c r="I78" i="22"/>
  <c r="J78" i="22" s="1"/>
  <c r="M88" i="20"/>
  <c r="H88" i="20" s="1"/>
  <c r="I88" i="20" s="1"/>
  <c r="H30" i="20"/>
  <c r="I30" i="20" s="1"/>
  <c r="J82" i="22"/>
  <c r="I83" i="22"/>
  <c r="J83" i="22" s="1"/>
  <c r="M128" i="20"/>
  <c r="H128" i="20" s="1"/>
  <c r="I128" i="20" s="1"/>
  <c r="H70" i="20"/>
  <c r="I70" i="20" s="1"/>
  <c r="H68" i="20"/>
  <c r="I68" i="20" s="1"/>
  <c r="M82" i="20"/>
  <c r="H82" i="20" s="1"/>
  <c r="I82" i="20" s="1"/>
  <c r="H24" i="20"/>
  <c r="I24" i="20" s="1"/>
  <c r="M106" i="20"/>
  <c r="H106" i="20" s="1"/>
  <c r="I106" i="20" s="1"/>
  <c r="H48" i="20"/>
  <c r="I48" i="20" s="1"/>
  <c r="H66" i="20"/>
  <c r="I66" i="20" s="1"/>
  <c r="J139" i="23"/>
  <c r="I171" i="23"/>
  <c r="J171" i="23" s="1"/>
  <c r="J131" i="23"/>
  <c r="I163" i="23"/>
  <c r="J163" i="23" s="1"/>
  <c r="M105" i="20"/>
  <c r="H105" i="20" s="1"/>
  <c r="I105" i="20" s="1"/>
  <c r="H47" i="20"/>
  <c r="I47" i="20" s="1"/>
  <c r="H71" i="20"/>
  <c r="I71" i="20" s="1"/>
  <c r="H67" i="20"/>
  <c r="I67" i="20" s="1"/>
  <c r="J75" i="22"/>
  <c r="I76" i="22"/>
  <c r="J76" i="22" s="1"/>
  <c r="J85" i="22"/>
  <c r="I86" i="22"/>
  <c r="J86" i="22" s="1"/>
  <c r="H51" i="20"/>
  <c r="I51" i="20" s="1"/>
  <c r="H25" i="24" l="1"/>
  <c r="H72" i="24"/>
  <c r="I72" i="24" s="1"/>
  <c r="H26" i="24" l="1"/>
  <c r="H73" i="24"/>
  <c r="I73" i="24" s="1"/>
  <c r="I25" i="24"/>
  <c r="H27" i="24" l="1"/>
  <c r="H74" i="24"/>
  <c r="I74" i="24" s="1"/>
  <c r="I26" i="24"/>
  <c r="H28" i="24" l="1"/>
  <c r="H75" i="24"/>
  <c r="I75" i="24" s="1"/>
  <c r="I27" i="24"/>
  <c r="H29" i="24" l="1"/>
  <c r="H76" i="24"/>
  <c r="I76" i="24" s="1"/>
  <c r="I28" i="24"/>
  <c r="H30" i="24" l="1"/>
  <c r="H77" i="24"/>
  <c r="I77" i="24" s="1"/>
  <c r="I29" i="24"/>
  <c r="H31" i="24" l="1"/>
  <c r="H78" i="24"/>
  <c r="I78" i="24" s="1"/>
  <c r="I30" i="24"/>
  <c r="H79" i="24" l="1"/>
  <c r="I79" i="24" s="1"/>
  <c r="I3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%displayname%</author>
  </authors>
  <commentList>
    <comment ref="D20" authorId="0" shapeId="0" xr:uid="{00000000-0006-0000-0500-000001000000}">
      <text>
        <r>
          <rPr>
            <b/>
            <sz val="9"/>
            <color indexed="81"/>
            <rFont val="Tahoma"/>
            <family val="2"/>
          </rPr>
          <t>%displayname%:</t>
        </r>
        <r>
          <rPr>
            <sz val="9"/>
            <color indexed="81"/>
            <rFont val="Tahoma"/>
            <family val="2"/>
          </rPr>
          <t xml:space="preserve">
OBS, if changed, be aware of TAX_CHP_Multifuel-NEW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I125" authorId="0" shapeId="0" xr:uid="{00000000-0006-0000-0800-000001000000}">
      <text>
        <r>
          <rPr>
            <b/>
            <sz val="9"/>
            <color indexed="8"/>
            <rFont val="Tahoma"/>
            <family val="2"/>
          </rPr>
          <t>Mikkel Bosack Simonsen:</t>
        </r>
        <r>
          <rPr>
            <sz val="9"/>
            <color indexed="8"/>
            <rFont val="Tahoma"/>
            <family val="2"/>
          </rPr>
          <t xml:space="preserve">
Since the subsidy scheme was introduced in 2012, then the subsidy rate is the same.
</t>
        </r>
      </text>
    </comment>
    <comment ref="I132" authorId="0" shapeId="0" xr:uid="{00000000-0006-0000-0800-000002000000}">
      <text>
        <r>
          <rPr>
            <b/>
            <sz val="10"/>
            <color indexed="8"/>
            <rFont val="Calibri"/>
            <family val="2"/>
          </rPr>
          <t>Mikkel Bosack Simonsen:</t>
        </r>
        <r>
          <rPr>
            <sz val="10"/>
            <color indexed="8"/>
            <rFont val="Calibri"/>
            <family val="2"/>
          </rPr>
          <t xml:space="preserve">
as states above the value is double
</t>
        </r>
      </text>
    </comment>
    <comment ref="I134" authorId="0" shapeId="0" xr:uid="{00000000-0006-0000-0800-000003000000}">
      <text>
        <r>
          <rPr>
            <b/>
            <sz val="9"/>
            <color indexed="8"/>
            <rFont val="Tahoma"/>
            <family val="2"/>
          </rPr>
          <t>Mikkel Bosack Simonsen:</t>
        </r>
        <r>
          <rPr>
            <sz val="9"/>
            <color indexed="8"/>
            <rFont val="Tahoma"/>
            <family val="2"/>
          </rPr>
          <t xml:space="preserve">
Estimates subsidies for anholt Wind power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F69" authorId="0" shapeId="0" xr:uid="{00000000-0006-0000-0900-000001000000}">
      <text>
        <r>
          <rPr>
            <b/>
            <sz val="9"/>
            <color indexed="81"/>
            <rFont val="Tahoma"/>
            <family val="2"/>
          </rPr>
          <t>This has been set to limit the equations build by TIMES</t>
        </r>
      </text>
    </comment>
    <comment ref="F72" authorId="0" shapeId="0" xr:uid="{00000000-0006-0000-0900-000002000000}">
      <text>
        <r>
          <rPr>
            <b/>
            <sz val="9"/>
            <color indexed="81"/>
            <rFont val="Tahoma"/>
            <family val="2"/>
          </rPr>
          <t>This has been set to limit the equations build by TIMES</t>
        </r>
      </text>
    </comment>
    <comment ref="F76" authorId="0" shapeId="0" xr:uid="{00000000-0006-0000-0900-000003000000}">
      <text>
        <r>
          <rPr>
            <b/>
            <sz val="9"/>
            <color indexed="81"/>
            <rFont val="Tahoma"/>
            <family val="2"/>
          </rPr>
          <t>This has been set to limit the equations build by TIMES</t>
        </r>
      </text>
    </comment>
    <comment ref="F77" authorId="0" shapeId="0" xr:uid="{00000000-0006-0000-0900-000004000000}">
      <text>
        <r>
          <rPr>
            <b/>
            <sz val="9"/>
            <color indexed="81"/>
            <rFont val="Tahoma"/>
            <family val="2"/>
          </rPr>
          <t>This has been set to limit the equations build by TIMES</t>
        </r>
      </text>
    </comment>
    <comment ref="F78" authorId="0" shapeId="0" xr:uid="{00000000-0006-0000-0900-000005000000}">
      <text>
        <r>
          <rPr>
            <b/>
            <sz val="9"/>
            <color indexed="81"/>
            <rFont val="Tahoma"/>
            <family val="2"/>
          </rPr>
          <t>This has been set to limit the equations build by TIMES</t>
        </r>
      </text>
    </comment>
    <comment ref="F208" authorId="0" shapeId="0" xr:uid="{00000000-0006-0000-0900-000006000000}">
      <text>
        <r>
          <rPr>
            <b/>
            <sz val="9"/>
            <color indexed="81"/>
            <rFont val="Tahoma"/>
            <family val="2"/>
          </rPr>
          <t>This has been set to limit the equations build by TIMES</t>
        </r>
      </text>
    </comment>
    <comment ref="F211" authorId="0" shapeId="0" xr:uid="{00000000-0006-0000-0900-000007000000}">
      <text>
        <r>
          <rPr>
            <b/>
            <sz val="9"/>
            <color indexed="81"/>
            <rFont val="Tahoma"/>
            <family val="2"/>
          </rPr>
          <t>This has been set to limit the equations build by TIMES</t>
        </r>
      </text>
    </comment>
    <comment ref="F215" authorId="0" shapeId="0" xr:uid="{00000000-0006-0000-0900-000008000000}">
      <text>
        <r>
          <rPr>
            <b/>
            <sz val="9"/>
            <color indexed="81"/>
            <rFont val="Tahoma"/>
            <family val="2"/>
          </rPr>
          <t>This has been set to limit the equations build by TIMES</t>
        </r>
      </text>
    </comment>
    <comment ref="F216" authorId="0" shapeId="0" xr:uid="{00000000-0006-0000-0900-000009000000}">
      <text>
        <r>
          <rPr>
            <b/>
            <sz val="9"/>
            <color indexed="81"/>
            <rFont val="Tahoma"/>
            <family val="2"/>
          </rPr>
          <t>This has been set to limit the equations build by TIMES</t>
        </r>
      </text>
    </comment>
    <comment ref="F217" authorId="0" shapeId="0" xr:uid="{00000000-0006-0000-0900-00000A000000}">
      <text>
        <r>
          <rPr>
            <b/>
            <sz val="9"/>
            <color indexed="81"/>
            <rFont val="Tahoma"/>
            <family val="2"/>
          </rPr>
          <t>This has been set to limit the equations build by TIMES</t>
        </r>
      </text>
    </comment>
    <comment ref="F349" authorId="0" shapeId="0" xr:uid="{00000000-0006-0000-0900-00000B000000}">
      <text>
        <r>
          <rPr>
            <b/>
            <sz val="9"/>
            <color indexed="81"/>
            <rFont val="Tahoma"/>
            <family val="2"/>
          </rPr>
          <t>This has been set to limit the equations build by TIMES</t>
        </r>
      </text>
    </comment>
    <comment ref="F352" authorId="0" shapeId="0" xr:uid="{00000000-0006-0000-0900-00000C000000}">
      <text>
        <r>
          <rPr>
            <b/>
            <sz val="9"/>
            <color indexed="81"/>
            <rFont val="Tahoma"/>
            <family val="2"/>
          </rPr>
          <t>This has been set to limit the equations build by TIMES</t>
        </r>
      </text>
    </comment>
    <comment ref="F356" authorId="0" shapeId="0" xr:uid="{00000000-0006-0000-0900-00000D000000}">
      <text>
        <r>
          <rPr>
            <b/>
            <sz val="9"/>
            <color indexed="81"/>
            <rFont val="Tahoma"/>
            <family val="2"/>
          </rPr>
          <t>This has been set to limit the equations build by TIMES</t>
        </r>
      </text>
    </comment>
    <comment ref="F357" authorId="0" shapeId="0" xr:uid="{00000000-0006-0000-0900-00000E000000}">
      <text>
        <r>
          <rPr>
            <b/>
            <sz val="9"/>
            <color indexed="81"/>
            <rFont val="Tahoma"/>
            <family val="2"/>
          </rPr>
          <t>This has been set to limit the equations build by TIMES</t>
        </r>
      </text>
    </comment>
    <comment ref="F358" authorId="0" shapeId="0" xr:uid="{00000000-0006-0000-0900-00000F000000}">
      <text>
        <r>
          <rPr>
            <b/>
            <sz val="9"/>
            <color indexed="81"/>
            <rFont val="Tahoma"/>
            <family val="2"/>
          </rPr>
          <t>This has been set to limit the equations build by TIMES</t>
        </r>
      </text>
    </comment>
    <comment ref="F493" authorId="0" shapeId="0" xr:uid="{00000000-0006-0000-0900-000010000000}">
      <text>
        <r>
          <rPr>
            <b/>
            <sz val="9"/>
            <color indexed="81"/>
            <rFont val="Tahoma"/>
            <family val="2"/>
          </rPr>
          <t>This has been set to limit the equations build by TIMES</t>
        </r>
      </text>
    </comment>
    <comment ref="F496" authorId="0" shapeId="0" xr:uid="{00000000-0006-0000-0900-000011000000}">
      <text>
        <r>
          <rPr>
            <b/>
            <sz val="9"/>
            <color indexed="81"/>
            <rFont val="Tahoma"/>
            <family val="2"/>
          </rPr>
          <t>This has been set to limit the equations build by TIMES</t>
        </r>
      </text>
    </comment>
    <comment ref="F500" authorId="0" shapeId="0" xr:uid="{00000000-0006-0000-0900-000012000000}">
      <text>
        <r>
          <rPr>
            <b/>
            <sz val="9"/>
            <color indexed="81"/>
            <rFont val="Tahoma"/>
            <family val="2"/>
          </rPr>
          <t>This has been set to limit the equations build by TIMES</t>
        </r>
      </text>
    </comment>
    <comment ref="F501" authorId="0" shapeId="0" xr:uid="{00000000-0006-0000-0900-000013000000}">
      <text>
        <r>
          <rPr>
            <b/>
            <sz val="9"/>
            <color indexed="81"/>
            <rFont val="Tahoma"/>
            <family val="2"/>
          </rPr>
          <t>This has been set to limit the equations build by TIMES</t>
        </r>
      </text>
    </comment>
    <comment ref="F502" authorId="0" shapeId="0" xr:uid="{00000000-0006-0000-0900-000014000000}">
      <text>
        <r>
          <rPr>
            <b/>
            <sz val="9"/>
            <color indexed="81"/>
            <rFont val="Tahoma"/>
            <family val="2"/>
          </rPr>
          <t>This has been set to limit the equations build by TIMES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Asbjørn Zachariassen Hegelund</author>
  </authors>
  <commentList>
    <comment ref="V23" authorId="0" shapeId="0" xr:uid="{00000000-0006-0000-0A00-000001000000}">
      <text>
        <r>
          <rPr>
            <b/>
            <sz val="9"/>
            <color indexed="81"/>
            <rFont val="Tahoma"/>
            <family val="2"/>
          </rPr>
          <t>Asbjørn Zachariassen Hegelund:</t>
        </r>
        <r>
          <rPr>
            <sz val="9"/>
            <color indexed="81"/>
            <rFont val="Tahoma"/>
            <family val="2"/>
          </rPr>
          <t xml:space="preserve">
50 DKK/GJ i 2015. 
Source PWC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B29" authorId="0" shapeId="0" xr:uid="{00000000-0006-0000-0B00-000001000000}">
      <text>
        <r>
          <rPr>
            <b/>
            <sz val="10"/>
            <color indexed="81"/>
            <rFont val="Calibri"/>
            <family val="2"/>
          </rPr>
          <t>Mikkel Bosack Simonsen:</t>
        </r>
        <r>
          <rPr>
            <sz val="10"/>
            <color indexed="81"/>
            <rFont val="Calibri"/>
            <family val="2"/>
          </rPr>
          <t xml:space="preserve">
The subsidie for the last 10 years for the 60/40 system</t>
        </r>
      </text>
    </comment>
    <comment ref="I44" authorId="0" shapeId="0" xr:uid="{00000000-0006-0000-0B00-000002000000}">
      <text>
        <r>
          <rPr>
            <b/>
            <sz val="9"/>
            <color indexed="81"/>
            <rFont val="Tahoma"/>
            <family val="2"/>
          </rPr>
          <t>Mikkel Bosack Simonsen:</t>
        </r>
        <r>
          <rPr>
            <sz val="9"/>
            <color indexed="81"/>
            <rFont val="Tahoma"/>
            <family val="2"/>
          </rPr>
          <t xml:space="preserve">
Since the subsidy scheme was introduced in 2012, then the subsidy rate is the same.
</t>
        </r>
      </text>
    </comment>
    <comment ref="I70" authorId="0" shapeId="0" xr:uid="{00000000-0006-0000-0B00-000003000000}">
      <text>
        <r>
          <rPr>
            <b/>
            <sz val="10"/>
            <color indexed="81"/>
            <rFont val="Calibri"/>
            <family val="2"/>
          </rPr>
          <t>Mikkel Bosack Simonsen:</t>
        </r>
        <r>
          <rPr>
            <sz val="10"/>
            <color indexed="81"/>
            <rFont val="Calibri"/>
            <family val="2"/>
          </rPr>
          <t xml:space="preserve">
as states above the value is double
</t>
        </r>
      </text>
    </comment>
    <comment ref="I72" authorId="0" shapeId="0" xr:uid="{00000000-0006-0000-0B00-000004000000}">
      <text>
        <r>
          <rPr>
            <b/>
            <sz val="9"/>
            <color indexed="81"/>
            <rFont val="Tahoma"/>
            <family val="2"/>
          </rPr>
          <t>Mikkel Bosack Simonsen:</t>
        </r>
        <r>
          <rPr>
            <sz val="9"/>
            <color indexed="81"/>
            <rFont val="Tahoma"/>
            <family val="2"/>
          </rPr>
          <t xml:space="preserve">
Estimates subsidies for anholt Wind power 
</t>
        </r>
      </text>
    </comment>
    <comment ref="I76" authorId="0" shapeId="0" xr:uid="{00000000-0006-0000-0B00-000005000000}">
      <text>
        <r>
          <rPr>
            <b/>
            <sz val="10"/>
            <color indexed="81"/>
            <rFont val="Calibri"/>
            <family val="2"/>
          </rPr>
          <t>Mikkel Bosack Simonsen:</t>
        </r>
        <r>
          <rPr>
            <sz val="10"/>
            <color indexed="81"/>
            <rFont val="Calibri"/>
            <family val="2"/>
          </rPr>
          <t xml:space="preserve">
the law state that Offshore windpower is subsidised equal to onshore windpower unless other told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B26" authorId="0" shapeId="0" xr:uid="{00000000-0006-0000-0C00-000001000000}">
      <text>
        <r>
          <rPr>
            <b/>
            <sz val="10"/>
            <color indexed="81"/>
            <rFont val="Calibri"/>
            <family val="2"/>
          </rPr>
          <t>Mikkel Bosack Simonsen:</t>
        </r>
        <r>
          <rPr>
            <sz val="10"/>
            <color indexed="81"/>
            <rFont val="Calibri"/>
            <family val="2"/>
          </rPr>
          <t xml:space="preserve">
The subsidie for the last 10 years for the 60/40 system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B2" authorId="0" shapeId="0" xr:uid="{00000000-0006-0000-1100-000001000000}">
      <text>
        <r>
          <rPr>
            <b/>
            <sz val="9"/>
            <color indexed="81"/>
            <rFont val="Tahoma"/>
            <family val="2"/>
          </rPr>
          <t xml:space="preserve">This is a template which can be used if general tax on district heat is introduced.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B2" authorId="0" shapeId="0" xr:uid="{00000000-0006-0000-1200-000001000000}">
      <text>
        <r>
          <rPr>
            <b/>
            <sz val="9"/>
            <color indexed="81"/>
            <rFont val="Tahoma"/>
            <family val="2"/>
          </rPr>
          <t xml:space="preserve">This is a template which can be used if general subsidy on district heat is introduced. </t>
        </r>
      </text>
    </comment>
  </commentList>
</comments>
</file>

<file path=xl/sharedStrings.xml><?xml version="1.0" encoding="utf-8"?>
<sst xmlns="http://schemas.openxmlformats.org/spreadsheetml/2006/main" count="17911" uniqueCount="507">
  <si>
    <t>KSA</t>
  </si>
  <si>
    <t>Year</t>
  </si>
  <si>
    <t>FUEL TAXES AND GREEN TAXES</t>
  </si>
  <si>
    <r>
      <t>Taxes are only levied on heat production. The tax code operates with two standard ways to calculated the fuel used to produce heat, the one used in RAMSES should be the following:
B</t>
    </r>
    <r>
      <rPr>
        <vertAlign val="subscript"/>
        <sz val="11"/>
        <rFont val="Calibri"/>
        <family val="2"/>
      </rPr>
      <t>heat</t>
    </r>
    <r>
      <rPr>
        <sz val="11"/>
        <rFont val="Calibri"/>
        <family val="2"/>
      </rPr>
      <t>= H / 1.2
B</t>
    </r>
    <r>
      <rPr>
        <vertAlign val="subscript"/>
        <sz val="11"/>
        <rFont val="Calibri"/>
        <family val="2"/>
      </rPr>
      <t>heat</t>
    </r>
    <r>
      <rPr>
        <sz val="11"/>
        <rFont val="Calibri"/>
        <family val="2"/>
      </rPr>
      <t xml:space="preserve"> = is the fuel used to produce heat &amp; H = total heat produced</t>
    </r>
  </si>
  <si>
    <t>TimeSlice</t>
  </si>
  <si>
    <t>Attribute</t>
  </si>
  <si>
    <t>Cset_CN</t>
  </si>
  <si>
    <t>Pset_PN</t>
  </si>
  <si>
    <t>FLO_TAX</t>
  </si>
  <si>
    <t>ELCNGA</t>
  </si>
  <si>
    <t>ELCHFO</t>
  </si>
  <si>
    <t>ELCWST</t>
  </si>
  <si>
    <t>Sheet Name</t>
  </si>
  <si>
    <t>Fuel Tax</t>
  </si>
  <si>
    <t>Description</t>
  </si>
  <si>
    <t>Feul taxes and green taxes - DATA612_2013</t>
  </si>
  <si>
    <t>Note</t>
  </si>
  <si>
    <t>Data by year and fuel</t>
  </si>
  <si>
    <t>Transformation Insert Table used to add new parameter and infomration in the model</t>
  </si>
  <si>
    <t>VEDA Attributes/Parameters</t>
  </si>
  <si>
    <t>TAX_CHP-SFuel</t>
  </si>
  <si>
    <t>Fuel tax implemented for CHP using a single fuel in input</t>
  </si>
  <si>
    <t>This tax is implementd for each unit of fuel in input to the technology</t>
  </si>
  <si>
    <t>Fuel tax implemented for CHP using a mixed fuel in input</t>
  </si>
  <si>
    <t>The year in which th attribute is applied</t>
  </si>
  <si>
    <t>This is a filter used to apply the attribute to one or more technologies</t>
  </si>
  <si>
    <t>This is the commodity on which the attribute is applied</t>
  </si>
  <si>
    <t>HETC,HETD</t>
  </si>
  <si>
    <t>Coal ELC</t>
  </si>
  <si>
    <t>Heavy Fuel Oil ELC</t>
  </si>
  <si>
    <t>Diesel ELC</t>
  </si>
  <si>
    <t>Biogas ELC</t>
  </si>
  <si>
    <t>Waste ELC</t>
  </si>
  <si>
    <t>Straw ELC</t>
  </si>
  <si>
    <t xml:space="preserve">Heat Production Taxes </t>
  </si>
  <si>
    <t xml:space="preserve">Note1: Data is taken from the DEA spreadsheet </t>
  </si>
  <si>
    <t>Date</t>
  </si>
  <si>
    <t>Name</t>
  </si>
  <si>
    <t xml:space="preserve">Cell no </t>
  </si>
  <si>
    <t>Explanation</t>
  </si>
  <si>
    <t>Entire sheet</t>
  </si>
  <si>
    <t>Fuel taxes have been updated (note that this sheet needs to be updated with all relevant combinations of fuel taxes)</t>
  </si>
  <si>
    <t>Note3: The taxes need to be validated before used for presentation</t>
  </si>
  <si>
    <t>CURR</t>
  </si>
  <si>
    <t>MKr14</t>
  </si>
  <si>
    <t>TAX on heat production from a heating plant</t>
  </si>
  <si>
    <t>Pset_Set</t>
  </si>
  <si>
    <t>HPL</t>
  </si>
  <si>
    <t>FLO_SUB</t>
  </si>
  <si>
    <t>CHP</t>
  </si>
  <si>
    <t>FT-ELC*</t>
  </si>
  <si>
    <t>ELCBGA</t>
  </si>
  <si>
    <t>ELCSTR</t>
  </si>
  <si>
    <t>ELCWIN</t>
  </si>
  <si>
    <t>ELCSOL</t>
  </si>
  <si>
    <t>ELCC</t>
  </si>
  <si>
    <t>ERWINWON*</t>
  </si>
  <si>
    <t>ERWINWOF*</t>
  </si>
  <si>
    <t>ERSOLPV*</t>
  </si>
  <si>
    <t>EHSOLSOL*</t>
  </si>
  <si>
    <t>WAV</t>
  </si>
  <si>
    <t>GEO</t>
  </si>
  <si>
    <t>SUB on heat production from CHP</t>
  </si>
  <si>
    <t>SUB on electricity production from CHP</t>
  </si>
  <si>
    <t>SUB on electricity production from specific CHP</t>
  </si>
  <si>
    <t>ECBGAEND1E</t>
  </si>
  <si>
    <t>Assumption</t>
  </si>
  <si>
    <t>SUB on eletricity production from renewable fuels</t>
  </si>
  <si>
    <t>Assumption: share of input used for heat production</t>
  </si>
  <si>
    <t>SUB on heat production from a heating plant</t>
  </si>
  <si>
    <t>ELCDSL</t>
  </si>
  <si>
    <t>ELCDSB</t>
  </si>
  <si>
    <t>ELCWPE</t>
  </si>
  <si>
    <t>Updated: 2014-09-17</t>
  </si>
  <si>
    <t>List of Proces and Commodity in TFM_INS</t>
  </si>
  <si>
    <t>V-formula:</t>
  </si>
  <si>
    <t>CHP pays taxes accoring to the amont of fuels used for heatproduction. The formula below is used to calculate the taxed paid by CHP on input fuels.</t>
  </si>
  <si>
    <t>ECCOA*</t>
  </si>
  <si>
    <t>ECNGA*</t>
  </si>
  <si>
    <t>ECWST*</t>
  </si>
  <si>
    <t>ECSTR*</t>
  </si>
  <si>
    <t>ECBGA*</t>
  </si>
  <si>
    <t>ECWPE*</t>
  </si>
  <si>
    <t>Bh = V  *</t>
  </si>
  <si>
    <t>Tax on heat production on HPL based on fuel in input</t>
  </si>
  <si>
    <t>Heat production</t>
  </si>
  <si>
    <t>Electricity production</t>
  </si>
  <si>
    <t>Assuming total efficiency of 100% of plants the average plant:</t>
  </si>
  <si>
    <t>TAX_CHP_AGGFUEL</t>
  </si>
  <si>
    <t>New VT-filer ("VT_DK_ELC_v1p10.xlsx")</t>
  </si>
  <si>
    <t>TFM_INS</t>
  </si>
  <si>
    <t>Olexandr Balyk</t>
  </si>
  <si>
    <t>TAX_HPL_FuelInput</t>
  </si>
  <si>
    <t>Changed "Pset_PN" for "Pset_Set" to avoid import error</t>
  </si>
  <si>
    <t>FT-ELCGAS</t>
  </si>
  <si>
    <t>ECGASBPC1E</t>
  </si>
  <si>
    <t>ECGASGTC1E</t>
  </si>
  <si>
    <t>ECGASGTD1E</t>
  </si>
  <si>
    <t>ECGASEND1E</t>
  </si>
  <si>
    <t>ECGASEXC1E</t>
  </si>
  <si>
    <t>ECCOSBPD1E</t>
  </si>
  <si>
    <t>ELCCOA</t>
  </si>
  <si>
    <t>ETDSLGTR1E</t>
  </si>
  <si>
    <t>ECGASENC1E</t>
  </si>
  <si>
    <t>ECGASGTD1N</t>
  </si>
  <si>
    <t>ECGASEND1N</t>
  </si>
  <si>
    <t>ECCOSBPD1N</t>
  </si>
  <si>
    <t>ECGASGTD2N</t>
  </si>
  <si>
    <t xml:space="preserve">TAX on heatproduction for multi-fuel CHP </t>
  </si>
  <si>
    <t xml:space="preserve">Tabel I: </t>
  </si>
  <si>
    <t>TIMES_DK; Power sector; CO2-taxes, Energy taxes paid on fuels used for heat production</t>
  </si>
  <si>
    <t xml:space="preserve">Scen-file: </t>
  </si>
  <si>
    <t>Scen_TAX-SUB_HeatProd.xlsx</t>
  </si>
  <si>
    <t>Dato:</t>
  </si>
  <si>
    <t>Tax name</t>
  </si>
  <si>
    <t>Ingen</t>
  </si>
  <si>
    <t>Maksimal afgiftsbetaling for elpatroner og spidslastkedler på kraftvarmeværker</t>
  </si>
  <si>
    <t>Kul (Stenkul, koks, cinders og koksgrus)</t>
  </si>
  <si>
    <t>Fuelolie</t>
  </si>
  <si>
    <t>Anden gas-dieselolie</t>
  </si>
  <si>
    <t>Naturgas og bygas</t>
  </si>
  <si>
    <t>Biogas</t>
  </si>
  <si>
    <t>Energiafgift for dieselækvivalenter(biobrændstof)</t>
  </si>
  <si>
    <t>Træpiller, briketter og andre forarbejdede produkter af træ</t>
  </si>
  <si>
    <t>Træ, træflis og skovflis m.v.</t>
  </si>
  <si>
    <t>Halm</t>
  </si>
  <si>
    <t>Affald</t>
  </si>
  <si>
    <t>TIMES_DK: Commodity Description</t>
  </si>
  <si>
    <t>ELCCO2</t>
  </si>
  <si>
    <t>HETC</t>
  </si>
  <si>
    <t>HETD</t>
  </si>
  <si>
    <t>ELCSNG</t>
  </si>
  <si>
    <t>ELCWCH</t>
  </si>
  <si>
    <t>ELCGEO</t>
  </si>
  <si>
    <t>ELCHYD</t>
  </si>
  <si>
    <t>TIMES_DK: Commodity Name</t>
  </si>
  <si>
    <t>CO2 Power Sector</t>
  </si>
  <si>
    <t>Electricity (Central)</t>
  </si>
  <si>
    <t>Heat (Central)</t>
  </si>
  <si>
    <t>Heat (Decentral)</t>
  </si>
  <si>
    <t>Nat Gas ELC</t>
  </si>
  <si>
    <t>Synt Nat Gas ELC</t>
  </si>
  <si>
    <t>BioDiesel ELC</t>
  </si>
  <si>
    <t>Wood Pellets ELC</t>
  </si>
  <si>
    <t>Wood Chips and Waste ELC</t>
  </si>
  <si>
    <t>Wind ELC</t>
  </si>
  <si>
    <t>Solar ELC</t>
  </si>
  <si>
    <t>Geothermal ELC</t>
  </si>
  <si>
    <t>Hydro ELC</t>
  </si>
  <si>
    <t>kr/kg</t>
  </si>
  <si>
    <t>FuelName</t>
  </si>
  <si>
    <t>Subsidy per kWh electricity produced using biomass.</t>
  </si>
  <si>
    <t>øre/kWh</t>
  </si>
  <si>
    <t>SUB on electricity production from specific CHP using biomass</t>
  </si>
  <si>
    <t>*WPE,*WCH,*STR</t>
  </si>
  <si>
    <t>RMO</t>
  </si>
  <si>
    <t>FuelTax</t>
  </si>
  <si>
    <t>Updated rates</t>
  </si>
  <si>
    <t>Note2: Next update is due ultimo 2016</t>
  </si>
  <si>
    <t>Added ELCCOA and ELCWCH</t>
  </si>
  <si>
    <t>From row 415</t>
  </si>
  <si>
    <t>Updated: 2016-04-18</t>
  </si>
  <si>
    <t>ECWCH*</t>
  </si>
  <si>
    <t>ECFL2EXC1E</t>
  </si>
  <si>
    <t>ECCOWEXD1E</t>
  </si>
  <si>
    <t>ECGWABPD1E</t>
  </si>
  <si>
    <t>ECWASBPD1E</t>
  </si>
  <si>
    <t>ECWOSBPD1E</t>
  </si>
  <si>
    <t>ECANGEND1E</t>
  </si>
  <si>
    <t>ECCOSEXC1E</t>
  </si>
  <si>
    <t>ECCOWEXC1E</t>
  </si>
  <si>
    <t>ECWOWBPC1E</t>
  </si>
  <si>
    <t>ECWOGBPD1E</t>
  </si>
  <si>
    <t>ECWOWBPD1E</t>
  </si>
  <si>
    <t>ECFL1BPD1E</t>
  </si>
  <si>
    <t>ECCOWEXC2N</t>
  </si>
  <si>
    <t>ECWASBPD2N</t>
  </si>
  <si>
    <t>ECWOSBPC2N</t>
  </si>
  <si>
    <t>ECGWABPD2N</t>
  </si>
  <si>
    <t>ECCOSBPD2N</t>
  </si>
  <si>
    <t>ECWOWBPD2N</t>
  </si>
  <si>
    <t>ECWOSBPD3N-DKE</t>
  </si>
  <si>
    <t>ECWOWBPC3N-DKW</t>
  </si>
  <si>
    <t>ECFL1BPD3N-DKW</t>
  </si>
  <si>
    <t>The TAX is applied to the column Cset_CN for each unit of heat produced</t>
  </si>
  <si>
    <t>This TA is applied on the input side of a CHP so we need an assumption on the elctricity and heat production</t>
  </si>
  <si>
    <t>NGA,SNG1,SNG2</t>
  </si>
  <si>
    <t>This table is used to TAX ELCGAS as mix of natural gas and syn gas</t>
  </si>
  <si>
    <t>Electricity produced by biomass gets a general subsidiy of 15 øre/kWh.</t>
  </si>
  <si>
    <t>NOTES</t>
  </si>
  <si>
    <t>This attributed is interpolated/extrapolated by default so the same value will be used for all the future periods</t>
  </si>
  <si>
    <t>Deactivate~TFM_INS</t>
  </si>
  <si>
    <t>Lars B. Termansen</t>
  </si>
  <si>
    <t>Added intro sheets and colored tabs</t>
  </si>
  <si>
    <t>Purpose:</t>
  </si>
  <si>
    <t>Description:</t>
  </si>
  <si>
    <t>ELC</t>
  </si>
  <si>
    <t>Relevant sectors</t>
  </si>
  <si>
    <t>Description of different sheets</t>
  </si>
  <si>
    <t>This sheet defines taxes on heat production</t>
  </si>
  <si>
    <t>TAX_CHP_Multifuel</t>
  </si>
  <si>
    <t>TAX_CHP_Multifuel-NEW</t>
  </si>
  <si>
    <t>Sub_CHP-Bio</t>
  </si>
  <si>
    <t>Fuel tax implemented for CHP using a mixed fuel in input - new techs</t>
  </si>
  <si>
    <t>Fuel tax implemented for CHP using biomass as input</t>
  </si>
  <si>
    <t>Legend</t>
  </si>
  <si>
    <t>Sheet deleted (information included in the intro sheet)</t>
  </si>
  <si>
    <t>Template_SUB_CHP</t>
  </si>
  <si>
    <t>Template_SUB_RNW_ElcProd</t>
  </si>
  <si>
    <t>Template_TAX_CHP</t>
  </si>
  <si>
    <t>Template_TAX_HPL_HeatProd</t>
  </si>
  <si>
    <t>Template_SUB_HPL_HeatProd</t>
  </si>
  <si>
    <t>Template for subsidy definition for chp-plants</t>
  </si>
  <si>
    <t>Template for subsidy definition for renewable electricity production</t>
  </si>
  <si>
    <t>Template for taxes on chp plants</t>
  </si>
  <si>
    <t>Template for taxes on heating plants</t>
  </si>
  <si>
    <t>Template for subsidies on heating plants</t>
  </si>
  <si>
    <t>SUB on eletricity production from renewable electricity</t>
  </si>
  <si>
    <t xml:space="preserve">To test subsidies it is assumed that electricity produced on onshore wind turbines resieves a subsidy of 15 øre/kWh </t>
  </si>
  <si>
    <t>ELE</t>
  </si>
  <si>
    <t>Offshore</t>
  </si>
  <si>
    <t>Kristoffer Steen Andersen</t>
  </si>
  <si>
    <t>Sub_Win_Sol</t>
  </si>
  <si>
    <t>Phase out of subsidies for biomass for electricity production 2025-2035</t>
  </si>
  <si>
    <t>Added subsidies for solar wind (onshore and offshore) / phased out between 2025-2035</t>
  </si>
  <si>
    <t>ERWINELCWIN115N</t>
  </si>
  <si>
    <t>ERWINELCWIN120N</t>
  </si>
  <si>
    <t>ERWINELCWIN130N</t>
  </si>
  <si>
    <t>ERWINELCWIN150N</t>
  </si>
  <si>
    <t>ERWINELCWIN515N</t>
  </si>
  <si>
    <t>ERWINELCWIN520N</t>
  </si>
  <si>
    <t>ERWINELCWIN530N</t>
  </si>
  <si>
    <t>ERWINELCWIN550N</t>
  </si>
  <si>
    <t>ERSOLPV5N15</t>
  </si>
  <si>
    <t>ERSOLPV5N20</t>
  </si>
  <si>
    <t>ERSOLPV5N30</t>
  </si>
  <si>
    <t>ERSOLPV5N50</t>
  </si>
  <si>
    <t>ERSOLPV6N15</t>
  </si>
  <si>
    <t>ERSOLPV6N20</t>
  </si>
  <si>
    <t>ERSOLPV6N30</t>
  </si>
  <si>
    <t>ERSOLPV6N50</t>
  </si>
  <si>
    <t>ERSOLPV7N15</t>
  </si>
  <si>
    <t>ERSOLPV7N20</t>
  </si>
  <si>
    <t>ERSOLPV7N30</t>
  </si>
  <si>
    <t>ERSOLPV7N50</t>
  </si>
  <si>
    <t>ERWINWOF1E</t>
  </si>
  <si>
    <t>ERWINWON1E</t>
  </si>
  <si>
    <t>ERSOLPVO1E</t>
  </si>
  <si>
    <t>ERWINWOF3N-DKE</t>
  </si>
  <si>
    <t>ERWINWON3N-DKE</t>
  </si>
  <si>
    <t>ERSOLPVO3N-DKE</t>
  </si>
  <si>
    <t>ERWINWOF3N-DKW</t>
  </si>
  <si>
    <t>ERWINWON3N-DKW</t>
  </si>
  <si>
    <t>ERSOLPVO3N-DKW</t>
  </si>
  <si>
    <t>ERWINWON4N-DKE</t>
  </si>
  <si>
    <t>ERSOLPVO4N-DKE</t>
  </si>
  <si>
    <t>ERWINWON4N-DKW</t>
  </si>
  <si>
    <t>ERSOLPVO4N-DKW</t>
  </si>
  <si>
    <t>Possible to build from year</t>
  </si>
  <si>
    <t>Onshore</t>
  </si>
  <si>
    <t>Solar PV</t>
  </si>
  <si>
    <t>Subsidy level</t>
  </si>
  <si>
    <t>Tech</t>
  </si>
  <si>
    <t>Recalculation</t>
  </si>
  <si>
    <t>TECHNOLOGIES</t>
  </si>
  <si>
    <t>Source</t>
  </si>
  <si>
    <t>http://www.ens.dk/sites/ens.dk/files/supply/renewable-energy/wind-power/facts-about-wind-power/key-figures-statistics/oversigt_over_stoette_til_elproduktion_juni_2015.pdf</t>
  </si>
  <si>
    <t>ENS: oversigt_over_stoette_til_elproduktion_juni_2015.pdf. Assumes 2/3 of stock from 2008-2013 and rest from before 2008. Link:</t>
  </si>
  <si>
    <t xml:space="preserve">ENS: oversigt_over_stoette_til_elproduktion_juni_2015.pdf. 2.3 øre/kWh "balancing" + 25 in "additions", however additions are not paid out when spotprice is above 58 øre/kWh - for this we remove 10 %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</si>
  <si>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20 %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</si>
  <si>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30 %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</si>
  <si>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40 % thinking that the ELC price will increase. We also remove 10% because support is only up to 25000 full-load-hours. </t>
  </si>
  <si>
    <t xml:space="preserve">ENS: oversigt_over_stoette_til_elproduktion_juni_2015.pdf. 2.3 øre/kWh "balancing" + 25 in "additions", however additions are not paid out when spotprice is above 58 øre/kWh - for this we remove 50 % thinking that the ELC price will increase. We also remove 10% because support is only up to 25000 full-load-hours. </t>
  </si>
  <si>
    <t>Gæt ud fra at afregningsordningen for sol er fast afregningspris 60 øre/kWh i ti år (altså 2 øre over loftet ved onshore). BEMÆRK at der efter de 10 første år falder støtten med 33% (60/40-ordningen - samme kilde).</t>
  </si>
  <si>
    <t>Please note:</t>
  </si>
  <si>
    <t>From VT-file, SubRes and Plant files:</t>
  </si>
  <si>
    <t>SDO</t>
  </si>
  <si>
    <t>Subsidy decrease since we assume that elc price will increase</t>
  </si>
  <si>
    <t>Subsidy decrease because of the 60/40 rule</t>
  </si>
  <si>
    <t>Gæt ud fra at de får fast afregningspris og at de derfor også får mindre støtte når elprisen vokser. Følger derfor samme udvikling som onshore.</t>
  </si>
  <si>
    <t>Lars Brømsøe Termansen</t>
  </si>
  <si>
    <t>Change table name from ~TFM_DINS to ~TFM_INS. Otherwise the table is not included correctly</t>
  </si>
  <si>
    <t>Mkr15/PJ</t>
  </si>
  <si>
    <t>Solar PV and Wave</t>
  </si>
  <si>
    <t>Gæt ud fra at afregningsordningen for sol er fast afregningspris 60 øre/kWh i ti år (altså 2 øre over loftet ved onshore). BEMÆRK at der efter de 10 første år falder støtten med 20 øre/KWh (60/40-ordningen - samme kilde).</t>
  </si>
  <si>
    <t>MKr15</t>
  </si>
  <si>
    <t>ELCWAV</t>
  </si>
  <si>
    <t>Wave</t>
  </si>
  <si>
    <t>ERWAV115N</t>
  </si>
  <si>
    <t>ERWAV120N</t>
  </si>
  <si>
    <t>ERWAV125N</t>
  </si>
  <si>
    <t>ERWAV130N</t>
  </si>
  <si>
    <t>ERWAV150N</t>
  </si>
  <si>
    <t>Mikkel Bosack Simonsen</t>
  </si>
  <si>
    <t>FuelTax, SUB_WIN_SOL</t>
  </si>
  <si>
    <t>ALL</t>
  </si>
  <si>
    <t>2016-kr/GJ</t>
  </si>
  <si>
    <t>MKr16</t>
  </si>
  <si>
    <t xml:space="preserve">ENS: oversigt_over_stoette_til_elproduktion_juni_2015.pdf. 1.8 øre/kWh "balancing" + 25 in "additions", however additions are not paid out when spotprice is above 58 øre/kWh - for this we remove 10 % thinking that the ELC price will increase. We also remove 10% because support is only up to 25000 full-load-hours. </t>
  </si>
  <si>
    <t>Estimatede subsidies equal to double the subsidies from onshore.</t>
  </si>
  <si>
    <t>Offshore Anholt wind power</t>
  </si>
  <si>
    <t>Estimated subsidies of anholt wind power with total subsidies and elec cost of 105,1 øre/kWh and 50.000 full load hours of operation or 11 Years with subsidies</t>
  </si>
  <si>
    <t>Offshore others</t>
  </si>
  <si>
    <t>Based on current law, equal to onshore wind power</t>
  </si>
  <si>
    <t>Offshore West</t>
  </si>
  <si>
    <t>Estimated subsidies of horns rev 3 with total subsidies of 77 øre/kWh and 50.000 full load hours of operation or 11 Years with subsidies</t>
  </si>
  <si>
    <t>Mkr16/PJ</t>
  </si>
  <si>
    <t>Offshore East</t>
  </si>
  <si>
    <t>Estimated cost of Krigers flak with total subsidies excluding elec cost of 37,2 øre/kWh and 50.000 full load hours of operation or 11 Years with subsidies</t>
  </si>
  <si>
    <t>ERWINELCWIN135N</t>
  </si>
  <si>
    <t>ERWINELCWIN140N</t>
  </si>
  <si>
    <t>ERWINELCWIN145N</t>
  </si>
  <si>
    <t>ERWINELCWIN535N</t>
  </si>
  <si>
    <t>ERWINELCWIN540N</t>
  </si>
  <si>
    <t>ERWINELCWIN545N</t>
  </si>
  <si>
    <t>ERSOLPVO1N</t>
  </si>
  <si>
    <t>ERWINWOF1N</t>
  </si>
  <si>
    <t>ERWINWON1N</t>
  </si>
  <si>
    <t>ERSOLPVO2N</t>
  </si>
  <si>
    <t>ERWINWON2N</t>
  </si>
  <si>
    <t>ERWINELCWIN125N</t>
  </si>
  <si>
    <t>ERWINELCWIN525N</t>
  </si>
  <si>
    <t>ERSOLPV5N25</t>
  </si>
  <si>
    <t>ERSOLPV6N25</t>
  </si>
  <si>
    <t>ERSOLPV7N25</t>
  </si>
  <si>
    <t>ERSOLPV5N35</t>
  </si>
  <si>
    <t>ERWAV135N</t>
  </si>
  <si>
    <t>ERSOLPV6N35</t>
  </si>
  <si>
    <t>ERSOLPV7N35</t>
  </si>
  <si>
    <t>ERSOLPV5N40</t>
  </si>
  <si>
    <t>ERWAV140N</t>
  </si>
  <si>
    <t>ERSOLPV6N40</t>
  </si>
  <si>
    <t>ERSOLPV7N40</t>
  </si>
  <si>
    <t>ERSOLPV5N45</t>
  </si>
  <si>
    <t>ERWAV145N</t>
  </si>
  <si>
    <t>ERSOLPV6N45</t>
  </si>
  <si>
    <t>ERSOLPV7N45</t>
  </si>
  <si>
    <t>*~TFM_INS</t>
  </si>
  <si>
    <t>Temporary excluded!!!!!!!!!!!!!! SUB on eletricity production from renewable electricity</t>
  </si>
  <si>
    <t>SUB on biogas</t>
  </si>
  <si>
    <t>BGA</t>
  </si>
  <si>
    <t>Electricity produced by biogas gets subsidies according to the table</t>
  </si>
  <si>
    <t>Subsidy type</t>
  </si>
  <si>
    <t>Subsidy 1</t>
  </si>
  <si>
    <t>Subsidy 2</t>
  </si>
  <si>
    <t>Subsidy 3</t>
  </si>
  <si>
    <t>Notes</t>
  </si>
  <si>
    <t>Production of pure biogas</t>
  </si>
  <si>
    <t>Fixed subsidy</t>
  </si>
  <si>
    <t>Feed in tariff</t>
  </si>
  <si>
    <t>Subsidy 1 increases annual by 60 % of the nettoprisindeks</t>
  </si>
  <si>
    <t>Øre/kWh electricity produced</t>
  </si>
  <si>
    <t>Subsidy 2 changes according by 1 øre/kWh when subsidies on subsidy 2 of bio gas sold to the grid changes by 1 kr/GJ.</t>
  </si>
  <si>
    <t>Subsidy 3 decreases from 2016 to 2019 to disappear in 2020</t>
  </si>
  <si>
    <t>Production of bio gas in a mixed gas</t>
  </si>
  <si>
    <t>Bioas produced to the natural Gas grid or transpotarion gets subsidies according to the table</t>
  </si>
  <si>
    <t>Sunsidy 2</t>
  </si>
  <si>
    <t>Sunsidy 3</t>
  </si>
  <si>
    <t>Production of pure biogas to grid</t>
  </si>
  <si>
    <t>DKK/GJ biogas</t>
  </si>
  <si>
    <t xml:space="preserve">Subsidy 2 is depended on the standard level of gas (53.2 DKK/GJ) and increase or decrease equal gas price, giving a minimum subsidy of 79,2.  </t>
  </si>
  <si>
    <t>Production of bio gas to transportion</t>
  </si>
  <si>
    <t>Production of bio gas to process use</t>
  </si>
  <si>
    <t>Reference value for biogas [2012 value]</t>
  </si>
  <si>
    <t>DKK/GJ</t>
  </si>
  <si>
    <t>Natural gas prices</t>
  </si>
  <si>
    <t>Nettoprisindeks</t>
  </si>
  <si>
    <t>Subsidy 1 for production of pure biogas to electricity production</t>
  </si>
  <si>
    <t>Subsidy 2 for production of pure biogas to electricity production</t>
  </si>
  <si>
    <t>Subsidy 3 for production of pure biogas to electricity production</t>
  </si>
  <si>
    <t>Total Subsidies for production of pure biogas to electricity production</t>
  </si>
  <si>
    <t>Subsidy 1 for production of mixed biogas to electricity production</t>
  </si>
  <si>
    <t>Subsidy 2 for production of mixed biogas to electricity production</t>
  </si>
  <si>
    <t>Subsidy 3 for production of mixed biogas to electricity production</t>
  </si>
  <si>
    <t>Total Subsidies for production of mixed biogas to electricity production</t>
  </si>
  <si>
    <t>Subsidy 1 for production of biogas to the grid</t>
  </si>
  <si>
    <t>Subsidy 2 for production of biogas to the grid</t>
  </si>
  <si>
    <t>Subsidy 3 for production of biogas to the grid</t>
  </si>
  <si>
    <t>Total Subsidies for production of biogas to the grid</t>
  </si>
  <si>
    <t>Subsidy 1 for production of biogas to transpotation</t>
  </si>
  <si>
    <t>Subsidy 2 for production of biogas to transpotation</t>
  </si>
  <si>
    <t>Subsidy 3 for production of biogas to transpotation</t>
  </si>
  <si>
    <t>Total Subsidies for production of biogas to transpotation</t>
  </si>
  <si>
    <t xml:space="preserve">Subsidy 1 for production of biogas </t>
  </si>
  <si>
    <t xml:space="preserve">Subsidy 2 for production of biogas </t>
  </si>
  <si>
    <t xml:space="preserve">Subsidy 3 for production of biogas </t>
  </si>
  <si>
    <t xml:space="preserve">Total Subsidies for production of biogas </t>
  </si>
  <si>
    <t>DKK2014/GJ</t>
  </si>
  <si>
    <t>2017 as refence year</t>
  </si>
  <si>
    <t>Øre2017/kWh</t>
  </si>
  <si>
    <t>DKK2017/GJ</t>
  </si>
  <si>
    <t>Subsidies on biogas production according to current legislation</t>
  </si>
  <si>
    <t>Assumed all biogas has been applied for the natural gas grid, thereby the gas taxation on natural gas is also applied on bio gas</t>
  </si>
  <si>
    <t>Biogas plants</t>
  </si>
  <si>
    <t>ECBGAENC1E</t>
  </si>
  <si>
    <t>CHP: Engine internal combustion (centralised) - Biogas</t>
  </si>
  <si>
    <t>EFF adjustment factor</t>
  </si>
  <si>
    <t>Process</t>
  </si>
  <si>
    <t>EFF</t>
  </si>
  <si>
    <t>CHPR-Bound</t>
  </si>
  <si>
    <t>Adjusted EFF</t>
  </si>
  <si>
    <t>Subsidy</t>
  </si>
  <si>
    <t>ECCPWAPEXC5N</t>
  </si>
  <si>
    <t>UP</t>
  </si>
  <si>
    <t>ECCPWSTBPC5N</t>
  </si>
  <si>
    <t>FX</t>
  </si>
  <si>
    <t>ECSTRSTBPC5N</t>
  </si>
  <si>
    <t>ECSTRSTBPC6N</t>
  </si>
  <si>
    <t>ECCPWSTBPD5N</t>
  </si>
  <si>
    <t>ECCPWSTBPD6N</t>
  </si>
  <si>
    <t>ECSTRSTBPD5N</t>
  </si>
  <si>
    <t>ECSTRSTBPD6N</t>
  </si>
  <si>
    <t>ECWPEBPC1E</t>
  </si>
  <si>
    <t>ECWCHBPC1E</t>
  </si>
  <si>
    <t>ECSTRBPD1E</t>
  </si>
  <si>
    <t>ECWCHBPC1N</t>
  </si>
  <si>
    <t>ECWCHEND1N</t>
  </si>
  <si>
    <t>ECWCHBPD2N</t>
  </si>
  <si>
    <t>ECWCHBPC3N-DKE</t>
  </si>
  <si>
    <t>ECWCHBPD3N-DKE</t>
  </si>
  <si>
    <t>ECSTRBPC1E</t>
  </si>
  <si>
    <t>ECWCHBPD1E</t>
  </si>
  <si>
    <t>ECWPEEND1E</t>
  </si>
  <si>
    <t>ECWCHEXC2N</t>
  </si>
  <si>
    <t>ECWPEEXC3N-DKW</t>
  </si>
  <si>
    <t>ECWCHBPC3N-DKW</t>
  </si>
  <si>
    <t>*WCH</t>
  </si>
  <si>
    <t>*WPE</t>
  </si>
  <si>
    <t>Subsidy has been applied for each specific plant according to their respective electric efficiency</t>
  </si>
  <si>
    <t>CHP with variating efficiencies has been estimated to an average operation equal to 5 %-point below maximum electric efficiency</t>
  </si>
  <si>
    <t>Applied subsidies on Biogas and Wave power</t>
  </si>
  <si>
    <t>Update of energy fees and subsidies. All subsidies applied (excl. Sub_Win_Sol) for their respective periode according to current legislation</t>
  </si>
  <si>
    <t>DKE</t>
  </si>
  <si>
    <t>DKW</t>
  </si>
  <si>
    <t>DKE and DKW instead of Allregions</t>
  </si>
  <si>
    <t>Sub_Biogas</t>
  </si>
  <si>
    <t>Template TAX_HPL_HeatProd</t>
  </si>
  <si>
    <t>Template SUB_HPL_HeatProd</t>
  </si>
  <si>
    <t>TAX_CHP_MultiFuel</t>
  </si>
  <si>
    <t>TAX_CHP_MultiFuel-NEW</t>
  </si>
  <si>
    <t>Sub_Win_Sol2</t>
  </si>
  <si>
    <t>Estimates of general subsidy for 2018 and 2019</t>
  </si>
  <si>
    <t>Full load hours</t>
  </si>
  <si>
    <t>Lifetime (year)</t>
  </si>
  <si>
    <t>ERWINELCWIN1N</t>
  </si>
  <si>
    <t>ERWINELCWIN5N</t>
  </si>
  <si>
    <t>ERSOLPV5N</t>
  </si>
  <si>
    <t>øre/kWH</t>
  </si>
  <si>
    <t>kr/kWh</t>
  </si>
  <si>
    <t>kr/MWh</t>
  </si>
  <si>
    <t>kr/year</t>
  </si>
  <si>
    <t>Wind</t>
  </si>
  <si>
    <t>Solar</t>
  </si>
  <si>
    <t>ERWINWOF3P</t>
  </si>
  <si>
    <t>3171/2018</t>
  </si>
  <si>
    <t>SUB_WIN_SOL</t>
  </si>
  <si>
    <t>Updated name for 2020 offshore windpower</t>
  </si>
  <si>
    <t>ECGAS*</t>
  </si>
  <si>
    <t>ANNUAL</t>
  </si>
  <si>
    <t>~TFM_INS</t>
  </si>
  <si>
    <t>ECBGAEND2N</t>
  </si>
  <si>
    <t>MKr13</t>
  </si>
  <si>
    <t>Source for subsidies</t>
  </si>
  <si>
    <t>http://energitilsynet.dk/fileadmin/Filer/0_-_Nyt_site/EL/Nyheder/2014-12_-_Hoering/Samlet_bilag_III.pdf</t>
  </si>
  <si>
    <t>Subsidies on natural gas plants beloing to the danish "Grundbeløbet" incentive structure</t>
  </si>
  <si>
    <t>AllRegions</t>
  </si>
  <si>
    <t>Moved all gas only CHP from TAX_CHP_MultiFuel-NEW in order to minimise risk of double taxation and for a more accurate calculation of taxes</t>
  </si>
  <si>
    <t>ECWOS*</t>
  </si>
  <si>
    <t>Tax on heat production on CHP with one fuel type in input</t>
  </si>
  <si>
    <t>ECWCH*, ECWPE*, ECSTR*, ECWOS*</t>
  </si>
  <si>
    <t>fixed subsidy on biomass CHP multifuel and single (biomass) fueled</t>
  </si>
  <si>
    <t>based on the assumption that subsidies will be similar as for 2013 and existing plants will belong to the grundbeløbet 1 and new for grundbeløbet 2 (started in 2013), applied old value of 8 øre/kWh as it is not possible to add the subdisy on the plant itself</t>
  </si>
  <si>
    <t>ECFC*</t>
  </si>
  <si>
    <t>Applied tax on gas used in fuel cell CHP</t>
  </si>
  <si>
    <t>ELCGAS</t>
  </si>
  <si>
    <t>ECDSL*</t>
  </si>
  <si>
    <t>ECWOWBPC1N</t>
  </si>
  <si>
    <t>ECWOWBPC3N</t>
  </si>
  <si>
    <t>ECWCHBPC3N</t>
  </si>
  <si>
    <t>ECWOSBPD3N</t>
  </si>
  <si>
    <t>ECFL1BPD3N</t>
  </si>
  <si>
    <t>ECWOWBPD3N</t>
  </si>
  <si>
    <t>tax on commodity ELCGAS for HPL</t>
  </si>
  <si>
    <t>Max sub base don avg price</t>
  </si>
  <si>
    <t>Onshore DKE</t>
  </si>
  <si>
    <t>Onshore DKW</t>
  </si>
  <si>
    <t>New subsidy scheme assuming subsidy of 13 øre/kWh (maximum subsidy)</t>
  </si>
  <si>
    <t>Solar PV and Wave DKE</t>
  </si>
  <si>
    <t>Solar PV and Wave DKW</t>
  </si>
  <si>
    <t>Electricity price from BF17 [DKK/MWh]</t>
  </si>
  <si>
    <t>Historical subsidy on Wind</t>
  </si>
  <si>
    <t>New subsidy for windpower</t>
  </si>
  <si>
    <t>Applied posibilty for changing subsidy on biomas easily</t>
  </si>
  <si>
    <t>EXH</t>
  </si>
  <si>
    <t>ECCOA*, ECRECOA*</t>
  </si>
  <si>
    <t>Update of Electricty fee for heating</t>
  </si>
  <si>
    <t>PYF (BVT-Deflator)</t>
  </si>
  <si>
    <t>https://ens.dk/sites/ens.dk/files/Stoette_vedvarende_energi/pristillaeg-biogas-2020.pdf</t>
  </si>
  <si>
    <t>https://www.dgc.dk/sites/default/files/filer/publikationer/A1312_tilskud_biogas.pdf</t>
  </si>
  <si>
    <t>file:///C:/Users/Mikkel%20Bosack/Downloads/GGF%20prsentation%20ENS%20Energinet%20Biogas%20DK.pdf</t>
  </si>
  <si>
    <t>SUPBGA*</t>
  </si>
  <si>
    <t>SUPSNGBGA*</t>
  </si>
  <si>
    <t>SNG2</t>
  </si>
  <si>
    <t>MKr19</t>
  </si>
  <si>
    <t>SUPSNGBIO</t>
  </si>
  <si>
    <t>SUPBGAUPD</t>
  </si>
  <si>
    <t>SNE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</si>
</sst>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43" formatCode="_-* #,##0.00_-;\-* #,##0.00_-;_-* &quot;-&quot;??_-;_-@_-"/>
    <numFmt numFmtId="164" formatCode="_-* #,##0.00\ &quot;kr.&quot;_-;\-* #,##0.00\ &quot;kr.&quot;_-;_-* &quot;-&quot;??\ &quot;kr.&quot;_-;_-@_-"/>
    <numFmt numFmtId="165" formatCode="_ * #,##0.00_ ;_ * \-#,##0.00_ ;_ * &quot;-&quot;??_ ;_ @_ "/>
    <numFmt numFmtId="166" formatCode="0.0"/>
    <numFmt numFmtId="167" formatCode="_-[$€-2]\ * #,##0.00_-;\-[$€-2]\ * #,##0.00_-;_-[$€-2]\ * &quot;-&quot;??_-"/>
    <numFmt numFmtId="168" formatCode="_-&quot;€&quot;\ * #,##0.00_-;\-&quot;€&quot;\ * #,##0.00_-;_-&quot;€&quot;\ * &quot;-&quot;??_-;_-@_-"/>
    <numFmt numFmtId="169" formatCode="#,##0;\-\ #,##0;_-\ &quot;- &quot;"/>
    <numFmt numFmtId="170" formatCode="\Te\x\t"/>
    <numFmt numFmtId="171" formatCode="_([$€]* #,##0.00_);_([$€]* \(#,##0.00\);_([$€]* &quot;-&quot;??_);_(@_)"/>
    <numFmt numFmtId="172" formatCode="0.0%"/>
    <numFmt numFmtId="173" formatCode="_-[$€-2]* #,##0.00_-;\-[$€-2]* #,##0.00_-;_-[$€-2]* &quot;-&quot;??_-"/>
    <numFmt numFmtId="174" formatCode="0_ ;\-0\ "/>
    <numFmt numFmtId="175" formatCode="0.0E+00"/>
    <numFmt numFmtId="176" formatCode="_ * #,##0.0_ ;_ * \-#,##0.0_ ;_ * &quot;-&quot;??_ ;_ @_ "/>
    <numFmt numFmtId="177" formatCode="0.000"/>
    <numFmt numFmtId="178" formatCode="\Tyy\x\t"/>
  </numFmts>
  <fonts count="110">
    <font>
      <sz val="10"/>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Helv"/>
    </font>
    <font>
      <sz val="11"/>
      <name val="Calibri"/>
      <family val="2"/>
    </font>
    <font>
      <vertAlign val="subscript"/>
      <sz val="11"/>
      <name val="Calibri"/>
      <family val="2"/>
    </font>
    <font>
      <sz val="10"/>
      <name val="Arial"/>
      <family val="2"/>
    </font>
    <font>
      <sz val="11"/>
      <color indexed="10"/>
      <name val="Calibri"/>
      <family val="2"/>
    </font>
    <font>
      <b/>
      <sz val="10"/>
      <name val="Arial"/>
      <family val="2"/>
    </font>
    <font>
      <b/>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10"/>
      <name val="Helv"/>
    </font>
    <font>
      <sz val="10"/>
      <name val="MS Sans Serif"/>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20"/>
      <color rgb="FFFF0000"/>
      <name val="Calibri"/>
      <family val="2"/>
      <scheme val="minor"/>
    </font>
    <font>
      <b/>
      <sz val="18"/>
      <color rgb="FFFF0000"/>
      <name val="Calibri"/>
      <family val="2"/>
      <scheme val="minor"/>
    </font>
    <font>
      <b/>
      <sz val="18"/>
      <name val="Helv"/>
    </font>
    <font>
      <sz val="14"/>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sz val="10"/>
      <name val="Calibri"/>
      <family val="2"/>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10"/>
      <color rgb="FFFF0000"/>
      <name val="Calibri"/>
      <family val="2"/>
    </font>
    <font>
      <b/>
      <sz val="11"/>
      <name val="Calibri"/>
      <family val="2"/>
    </font>
    <font>
      <sz val="8"/>
      <name val="Arial"/>
      <family val="2"/>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b/>
      <sz val="14"/>
      <color rgb="FFFF0000"/>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u/>
      <sz val="10"/>
      <color theme="10"/>
      <name val="Arial"/>
      <family val="2"/>
    </font>
    <font>
      <sz val="10"/>
      <name val="Times New Roman"/>
      <family val="1"/>
    </font>
    <font>
      <sz val="18"/>
      <color theme="3"/>
      <name val="Cambria"/>
      <family val="2"/>
      <scheme val="major"/>
    </font>
    <font>
      <sz val="10"/>
      <color theme="0"/>
      <name val="Helv"/>
    </font>
    <font>
      <b/>
      <sz val="11"/>
      <name val="Helv"/>
    </font>
    <font>
      <sz val="9"/>
      <color indexed="81"/>
      <name val="Tahoma"/>
      <family val="2"/>
    </font>
    <font>
      <b/>
      <sz val="10"/>
      <color indexed="81"/>
      <name val="Calibri"/>
      <family val="2"/>
    </font>
    <font>
      <sz val="10"/>
      <color indexed="81"/>
      <name val="Calibri"/>
      <family val="2"/>
    </font>
    <font>
      <b/>
      <sz val="11"/>
      <name val="Calibri"/>
      <family val="2"/>
      <scheme val="minor"/>
    </font>
    <font>
      <b/>
      <sz val="11"/>
      <color rgb="FFFF0000"/>
      <name val="Calibri"/>
      <family val="2"/>
      <scheme val="minor"/>
    </font>
    <font>
      <b/>
      <sz val="18"/>
      <name val="Calibri"/>
      <family val="2"/>
      <scheme val="minor"/>
    </font>
    <font>
      <sz val="10"/>
      <name val="Calibri"/>
      <family val="2"/>
      <scheme val="minor"/>
    </font>
    <font>
      <sz val="11"/>
      <name val="Calibri"/>
      <family val="2"/>
      <scheme val="minor"/>
    </font>
    <font>
      <b/>
      <sz val="10"/>
      <name val="Calibri"/>
      <family val="2"/>
      <scheme val="minor"/>
    </font>
    <font>
      <sz val="10"/>
      <color rgb="FF000000"/>
      <name val="Calibri"/>
      <family val="2"/>
    </font>
    <font>
      <sz val="10"/>
      <color rgb="FFFF0000"/>
      <name val="Helv"/>
    </font>
    <font>
      <sz val="16"/>
      <name val="Calibri"/>
      <family val="2"/>
      <scheme val="minor"/>
    </font>
    <font>
      <sz val="10"/>
      <color indexed="8"/>
      <name val="Calibri"/>
      <family val="2"/>
    </font>
    <font>
      <b/>
      <sz val="18"/>
      <color indexed="10"/>
      <name val="Calibri"/>
      <family val="2"/>
    </font>
    <font>
      <sz val="11"/>
      <color indexed="54"/>
      <name val="Calibri"/>
      <family val="2"/>
    </font>
    <font>
      <b/>
      <sz val="9"/>
      <color indexed="8"/>
      <name val="Tahoma"/>
      <family val="2"/>
    </font>
    <font>
      <sz val="9"/>
      <color indexed="8"/>
      <name val="Tahoma"/>
      <family val="2"/>
    </font>
    <font>
      <b/>
      <sz val="10"/>
      <color indexed="8"/>
      <name val="Calibri"/>
      <family val="2"/>
    </font>
  </fonts>
  <fills count="9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indexed="62"/>
        <bgColor indexed="64"/>
      </patternFill>
    </fill>
    <fill>
      <patternFill patternType="solid">
        <fgColor rgb="FFFFFF00"/>
        <bgColor indexed="64"/>
      </patternFill>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2F2F2"/>
        <bgColor rgb="FF000000"/>
      </patternFill>
    </fill>
    <fill>
      <patternFill patternType="solid">
        <fgColor rgb="FFFF00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D9D9D9"/>
        <bgColor indexed="64"/>
      </patternFill>
    </fill>
    <fill>
      <patternFill patternType="solid">
        <fgColor rgb="FFDCE6F1"/>
        <bgColor indexed="64"/>
      </patternFill>
    </fill>
    <fill>
      <patternFill patternType="solid">
        <fgColor rgb="FFFFFF99"/>
        <bgColor indexed="64"/>
      </patternFill>
    </fill>
    <fill>
      <patternFill patternType="solid">
        <fgColor rgb="FFFCD5B4"/>
        <bgColor indexed="64"/>
      </patternFill>
    </fill>
    <fill>
      <patternFill patternType="solid">
        <fgColor rgb="FFDDD9C4"/>
        <bgColor indexed="64"/>
      </patternFill>
    </fill>
    <fill>
      <patternFill patternType="solid">
        <fgColor rgb="FF99CCFF"/>
        <bgColor indexed="64"/>
      </patternFill>
    </fill>
    <fill>
      <patternFill patternType="solid">
        <fgColor rgb="FFFFFFFF"/>
        <bgColor indexed="64"/>
      </patternFill>
    </fill>
    <fill>
      <patternFill patternType="solid">
        <fgColor rgb="FFF2F2F2"/>
        <bgColor indexed="64"/>
      </patternFill>
    </fill>
    <fill>
      <patternFill patternType="solid">
        <fgColor rgb="FFFDE9D9"/>
        <bgColor indexed="64"/>
      </patternFill>
    </fill>
    <fill>
      <patternFill patternType="solid">
        <fgColor theme="4"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bottom style="medium">
        <color indexed="64"/>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s>
  <cellStyleXfs count="8191">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4" fillId="0" borderId="0" applyNumberFormat="0" applyFont="0" applyFill="0" applyBorder="0" applyProtection="0">
      <alignment horizontal="left" vertical="center" indent="5"/>
    </xf>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4" fontId="38" fillId="20" borderId="1">
      <alignment horizontal="right" vertical="center"/>
    </xf>
    <xf numFmtId="4" fontId="38" fillId="20" borderId="1">
      <alignment horizontal="right" vertical="center"/>
    </xf>
    <xf numFmtId="0" fontId="43" fillId="28" borderId="0" applyNumberFormat="0" applyBorder="0" applyAlignment="0" applyProtection="0"/>
    <xf numFmtId="0" fontId="43" fillId="28" borderId="0" applyNumberFormat="0" applyBorder="0" applyAlignment="0" applyProtection="0"/>
    <xf numFmtId="0" fontId="20" fillId="21" borderId="2" applyNumberFormat="0" applyAlignment="0" applyProtection="0"/>
    <xf numFmtId="0" fontId="44" fillId="29" borderId="16" applyNumberFormat="0" applyAlignment="0" applyProtection="0"/>
    <xf numFmtId="0" fontId="28" fillId="0" borderId="3" applyNumberFormat="0" applyFill="0" applyAlignment="0" applyProtection="0"/>
    <xf numFmtId="0" fontId="21" fillId="22" borderId="4" applyNumberFormat="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0" fontId="11" fillId="0" borderId="0"/>
    <xf numFmtId="0" fontId="39" fillId="0" borderId="5">
      <alignment horizontal="left" vertical="center" wrapText="1" indent="2"/>
    </xf>
    <xf numFmtId="0"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7" fontId="14" fillId="0" borderId="0" applyFont="0" applyFill="0" applyBorder="0" applyAlignment="0" applyProtection="0"/>
    <xf numFmtId="171"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167" fontId="36" fillId="0" borderId="0" applyFont="0" applyFill="0" applyBorder="0" applyAlignment="0" applyProtection="0"/>
    <xf numFmtId="0" fontId="14" fillId="0" borderId="0" applyFont="0" applyFill="0" applyBorder="0" applyAlignment="0" applyProtection="0"/>
    <xf numFmtId="167"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7" fontId="36" fillId="0" borderId="0" applyFont="0" applyFill="0" applyBorder="0" applyAlignment="0" applyProtection="0"/>
    <xf numFmtId="167"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35" fillId="0" borderId="0" applyFont="0" applyFill="0" applyBorder="0" applyAlignment="0" applyProtection="0"/>
    <xf numFmtId="0" fontId="11" fillId="0" borderId="0"/>
    <xf numFmtId="0" fontId="27" fillId="7" borderId="2" applyNumberFormat="0" applyAlignment="0" applyProtection="0"/>
    <xf numFmtId="4" fontId="39" fillId="0" borderId="0" applyBorder="0">
      <alignment horizontal="right" vertical="center"/>
    </xf>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0" fontId="29" fillId="23" borderId="0" applyNumberFormat="0" applyBorder="0" applyAlignment="0" applyProtection="0"/>
    <xf numFmtId="0" fontId="29" fillId="23" borderId="0" applyNumberFormat="0" applyBorder="0" applyAlignment="0" applyProtection="0"/>
    <xf numFmtId="0" fontId="14" fillId="0" borderId="0"/>
    <xf numFmtId="0" fontId="42" fillId="0" borderId="0"/>
    <xf numFmtId="0" fontId="11" fillId="0" borderId="0"/>
    <xf numFmtId="0" fontId="42" fillId="0" borderId="0"/>
    <xf numFmtId="0" fontId="42" fillId="0" borderId="0"/>
    <xf numFmtId="0" fontId="14" fillId="0" borderId="0"/>
    <xf numFmtId="0" fontId="42" fillId="0" borderId="0"/>
    <xf numFmtId="0" fontId="42" fillId="0" borderId="0"/>
    <xf numFmtId="0" fontId="42" fillId="0" borderId="0"/>
    <xf numFmtId="0" fontId="45" fillId="0" borderId="0"/>
    <xf numFmtId="0" fontId="42" fillId="0" borderId="0"/>
    <xf numFmtId="0" fontId="11" fillId="0" borderId="0"/>
    <xf numFmtId="0" fontId="14" fillId="0" borderId="0"/>
    <xf numFmtId="0" fontId="46" fillId="0" borderId="0"/>
    <xf numFmtId="0" fontId="14" fillId="0" borderId="0"/>
    <xf numFmtId="0" fontId="14" fillId="0" borderId="0"/>
    <xf numFmtId="0" fontId="45" fillId="0" borderId="0"/>
    <xf numFmtId="0" fontId="45" fillId="0" borderId="0"/>
    <xf numFmtId="0" fontId="45" fillId="0" borderId="0"/>
    <xf numFmtId="0" fontId="45" fillId="0" borderId="0"/>
    <xf numFmtId="0" fontId="42" fillId="0" borderId="0"/>
    <xf numFmtId="0" fontId="42" fillId="0" borderId="0"/>
    <xf numFmtId="0" fontId="14" fillId="0" borderId="0"/>
    <xf numFmtId="0" fontId="45" fillId="0" borderId="0"/>
    <xf numFmtId="0" fontId="45" fillId="0" borderId="0"/>
    <xf numFmtId="0" fontId="36" fillId="0" borderId="0"/>
    <xf numFmtId="0" fontId="14" fillId="0" borderId="0"/>
    <xf numFmtId="0" fontId="35" fillId="0" borderId="0"/>
    <xf numFmtId="0" fontId="45" fillId="0" borderId="0"/>
    <xf numFmtId="4" fontId="39" fillId="0" borderId="1" applyFill="0" applyBorder="0" applyProtection="0">
      <alignment horizontal="right" vertical="center"/>
    </xf>
    <xf numFmtId="0" fontId="40" fillId="0" borderId="0" applyNumberFormat="0" applyFill="0" applyBorder="0" applyProtection="0">
      <alignment horizontal="left" vertical="center"/>
    </xf>
    <xf numFmtId="0" fontId="14" fillId="24" borderId="0" applyNumberFormat="0" applyFont="0" applyBorder="0" applyAlignment="0" applyProtection="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0" fillId="0" borderId="0"/>
    <xf numFmtId="0" fontId="10" fillId="0" borderId="0"/>
    <xf numFmtId="0" fontId="14" fillId="0" borderId="0"/>
    <xf numFmtId="0" fontId="14" fillId="0" borderId="0"/>
    <xf numFmtId="0" fontId="3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14" fillId="0" borderId="0"/>
    <xf numFmtId="0" fontId="14" fillId="0" borderId="0"/>
    <xf numFmtId="0" fontId="14" fillId="0" borderId="0"/>
    <xf numFmtId="0" fontId="34" fillId="0" borderId="0"/>
    <xf numFmtId="0" fontId="37" fillId="0" borderId="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35" fillId="25" borderId="9" applyNumberFormat="0" applyFont="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35" fillId="0" borderId="0" applyFont="0" applyFill="0" applyBorder="0" applyAlignment="0" applyProtection="0"/>
    <xf numFmtId="0" fontId="30" fillId="21" borderId="10" applyNumberFormat="0" applyAlignment="0" applyProtection="0"/>
    <xf numFmtId="0" fontId="11" fillId="0" borderId="0"/>
    <xf numFmtId="9" fontId="14"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4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14" fillId="0" borderId="0" applyFont="0" applyFill="0" applyBorder="0" applyAlignment="0" applyProtection="0"/>
    <xf numFmtId="9" fontId="42" fillId="0" borderId="0" applyFont="0" applyFill="0" applyBorder="0" applyAlignment="0" applyProtection="0"/>
    <xf numFmtId="0" fontId="14" fillId="0" borderId="0"/>
    <xf numFmtId="0" fontId="15" fillId="0" borderId="0" applyNumberFormat="0" applyFill="0" applyBorder="0" applyAlignment="0" applyProtection="0"/>
    <xf numFmtId="0" fontId="22" fillId="0" borderId="0" applyNumberFormat="0" applyFill="0" applyBorder="0" applyAlignment="0" applyProtection="0"/>
    <xf numFmtId="0" fontId="31" fillId="0" borderId="0" applyNumberFormat="0" applyFill="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32" fillId="0" borderId="11" applyNumberFormat="0" applyFill="0" applyAlignment="0" applyProtection="0"/>
    <xf numFmtId="0" fontId="32" fillId="0" borderId="11" applyNumberFormat="0" applyFill="0" applyAlignment="0" applyProtection="0"/>
    <xf numFmtId="0" fontId="43" fillId="28" borderId="0" applyNumberFormat="0" applyBorder="0" applyAlignment="0" applyProtection="0"/>
    <xf numFmtId="0" fontId="19" fillId="3" borderId="0" applyNumberFormat="0" applyBorder="0" applyAlignment="0" applyProtection="0"/>
    <xf numFmtId="0" fontId="23" fillId="4" borderId="0" applyNumberFormat="0" applyBorder="0" applyAlignment="0" applyProtection="0"/>
    <xf numFmtId="4" fontId="39" fillId="0" borderId="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0" fontId="4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7" fillId="0" borderId="0"/>
    <xf numFmtId="0" fontId="6" fillId="0" borderId="0"/>
    <xf numFmtId="0" fontId="3" fillId="39" borderId="0" applyNumberFormat="0" applyBorder="0" applyAlignment="0" applyProtection="0"/>
    <xf numFmtId="0" fontId="3" fillId="3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8"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55" fillId="41" borderId="0" applyNumberFormat="0" applyBorder="0" applyAlignment="0" applyProtection="0"/>
    <xf numFmtId="0" fontId="55" fillId="45" borderId="0" applyNumberFormat="0" applyBorder="0" applyAlignment="0" applyProtection="0"/>
    <xf numFmtId="0" fontId="55" fillId="49" borderId="0" applyNumberFormat="0" applyBorder="0" applyAlignment="0" applyProtection="0"/>
    <xf numFmtId="0" fontId="55" fillId="53" borderId="0" applyNumberFormat="0" applyBorder="0" applyAlignment="0" applyProtection="0"/>
    <xf numFmtId="0" fontId="55" fillId="57" borderId="0" applyNumberFormat="0" applyBorder="0" applyAlignment="0" applyProtection="0"/>
    <xf numFmtId="0" fontId="55" fillId="61" borderId="0" applyNumberFormat="0" applyBorder="0" applyAlignment="0" applyProtection="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165" fontId="10" fillId="0" borderId="0" applyFont="0" applyFill="0" applyBorder="0" applyAlignment="0" applyProtection="0"/>
    <xf numFmtId="0" fontId="39" fillId="0" borderId="5">
      <alignment horizontal="left" vertical="center" wrapText="1" indent="2"/>
    </xf>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0"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167" fontId="36" fillId="0" borderId="0" applyFont="0" applyFill="0" applyBorder="0" applyAlignment="0" applyProtection="0"/>
    <xf numFmtId="167"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0" fontId="57" fillId="33" borderId="0" applyNumberFormat="0" applyBorder="0" applyAlignment="0" applyProtection="0"/>
    <xf numFmtId="0" fontId="58" fillId="0" borderId="0" applyNumberFormat="0" applyFill="0" applyBorder="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165" fontId="11" fillId="0" borderId="0" applyFont="0" applyFill="0" applyBorder="0" applyAlignment="0" applyProtection="0"/>
    <xf numFmtId="0" fontId="54" fillId="36" borderId="18" applyNumberFormat="0" applyAlignment="0" applyProtection="0"/>
    <xf numFmtId="0" fontId="55" fillId="38" borderId="0" applyNumberFormat="0" applyBorder="0" applyAlignment="0" applyProtection="0"/>
    <xf numFmtId="0" fontId="55" fillId="42" borderId="0" applyNumberFormat="0" applyBorder="0" applyAlignment="0" applyProtection="0"/>
    <xf numFmtId="0" fontId="55" fillId="46" borderId="0" applyNumberFormat="0" applyBorder="0" applyAlignment="0" applyProtection="0"/>
    <xf numFmtId="0" fontId="55" fillId="50" borderId="0" applyNumberFormat="0" applyBorder="0" applyAlignment="0" applyProtection="0"/>
    <xf numFmtId="0" fontId="55" fillId="54" borderId="0" applyNumberFormat="0" applyBorder="0" applyAlignment="0" applyProtection="0"/>
    <xf numFmtId="0" fontId="55" fillId="58" borderId="0" applyNumberFormat="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0" fontId="59" fillId="34" borderId="0" applyNumberFormat="0" applyBorder="0" applyAlignment="0" applyProtection="0"/>
    <xf numFmtId="0" fontId="14" fillId="0" borderId="0"/>
    <xf numFmtId="0" fontId="45" fillId="0" borderId="0"/>
    <xf numFmtId="0" fontId="3" fillId="0" borderId="0"/>
    <xf numFmtId="0" fontId="3" fillId="0" borderId="0"/>
    <xf numFmtId="0" fontId="14" fillId="0" borderId="0"/>
    <xf numFmtId="0" fontId="14" fillId="0" borderId="0"/>
    <xf numFmtId="0" fontId="14" fillId="0" borderId="0"/>
    <xf numFmtId="0" fontId="3" fillId="0" borderId="0"/>
    <xf numFmtId="0" fontId="14" fillId="0" borderId="0"/>
    <xf numFmtId="0" fontId="3" fillId="0" borderId="0"/>
    <xf numFmtId="0" fontId="14" fillId="0" borderId="0"/>
    <xf numFmtId="0" fontId="14" fillId="0" borderId="0"/>
    <xf numFmtId="0" fontId="14" fillId="0" borderId="0"/>
    <xf numFmtId="0" fontId="14" fillId="0" borderId="0"/>
    <xf numFmtId="0" fontId="3" fillId="0" borderId="0"/>
    <xf numFmtId="0" fontId="14"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4"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3"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45" fillId="0" borderId="0"/>
    <xf numFmtId="0" fontId="3"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6" fillId="0" borderId="0"/>
    <xf numFmtId="0" fontId="14" fillId="0" borderId="0"/>
    <xf numFmtId="0" fontId="14" fillId="0" borderId="0"/>
    <xf numFmtId="0" fontId="14" fillId="0" borderId="0"/>
    <xf numFmtId="0" fontId="14" fillId="0" borderId="0"/>
    <xf numFmtId="0" fontId="14" fillId="0" borderId="0"/>
    <xf numFmtId="0" fontId="14" fillId="0" borderId="0"/>
    <xf numFmtId="0" fontId="45" fillId="0" borderId="0"/>
    <xf numFmtId="0" fontId="45" fillId="0" borderId="0"/>
    <xf numFmtId="0" fontId="45" fillId="0" borderId="0"/>
    <xf numFmtId="0" fontId="45"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4" fontId="39" fillId="0" borderId="1" applyFill="0" applyBorder="0" applyProtection="0">
      <alignment horizontal="right" vertical="center"/>
    </xf>
    <xf numFmtId="4" fontId="39" fillId="0" borderId="1" applyFill="0" applyBorder="0" applyProtection="0">
      <alignment horizontal="righ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0" fillId="0" borderId="0"/>
    <xf numFmtId="0" fontId="1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36"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14" fillId="25" borderId="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0" fontId="3" fillId="37" borderId="19" applyNumberFormat="0" applyFont="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0" fontId="30" fillId="21" borderId="10" applyNumberFormat="0" applyAlignment="0" applyProtection="0"/>
    <xf numFmtId="0" fontId="30" fillId="21" borderId="10" applyNumberFormat="0" applyAlignment="0" applyProtection="0"/>
    <xf numFmtId="0" fontId="30" fillId="21" borderId="10" applyNumberFormat="0" applyAlignment="0" applyProtection="0"/>
    <xf numFmtId="0" fontId="30" fillId="21" borderId="10" applyNumberFormat="0" applyAlignment="0" applyProtection="0"/>
    <xf numFmtId="0" fontId="30" fillId="21" borderId="10" applyNumberFormat="0" applyAlignment="0" applyProtection="0"/>
    <xf numFmtId="9" fontId="3"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16" fillId="62" borderId="1" applyNumberFormat="0" applyProtection="0">
      <alignment horizontal="right"/>
    </xf>
    <xf numFmtId="0" fontId="60" fillId="62" borderId="0" applyNumberFormat="0" applyBorder="0" applyProtection="0">
      <alignment horizontal="left"/>
    </xf>
    <xf numFmtId="0" fontId="16" fillId="62" borderId="1" applyNumberFormat="0" applyProtection="0">
      <alignment horizontal="left"/>
    </xf>
    <xf numFmtId="49" fontId="14" fillId="0" borderId="1" applyFill="0" applyProtection="0">
      <alignment horizontal="right"/>
    </xf>
    <xf numFmtId="0" fontId="61" fillId="63" borderId="0" applyNumberFormat="0" applyBorder="0" applyProtection="0">
      <alignment horizontal="left"/>
    </xf>
    <xf numFmtId="1" fontId="14" fillId="0" borderId="1" applyFill="0" applyProtection="0">
      <alignment horizontal="right" vertical="top" wrapText="1"/>
    </xf>
    <xf numFmtId="2" fontId="14" fillId="0" borderId="1" applyFill="0" applyProtection="0">
      <alignment horizontal="right" vertical="top" wrapText="1"/>
    </xf>
    <xf numFmtId="0" fontId="14" fillId="0" borderId="1" applyFill="0" applyProtection="0">
      <alignment horizontal="right" vertical="top" wrapText="1"/>
    </xf>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9" fontId="45" fillId="0" borderId="0" applyFont="0" applyFill="0" applyBorder="0" applyAlignment="0" applyProtection="0"/>
    <xf numFmtId="0" fontId="3" fillId="0" borderId="0"/>
    <xf numFmtId="0" fontId="51" fillId="28" borderId="0" applyNumberFormat="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11" fillId="0" borderId="0" applyFont="0" applyFill="0" applyBorder="0" applyAlignment="0" applyProtection="0"/>
    <xf numFmtId="0" fontId="29" fillId="23" borderId="0" applyNumberFormat="0" applyBorder="0" applyAlignment="0" applyProtection="0"/>
    <xf numFmtId="167"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173" fontId="14" fillId="0" borderId="0"/>
    <xf numFmtId="3" fontId="14" fillId="67" borderId="16" applyFont="0" applyFill="0" applyBorder="0" applyAlignment="0" applyProtection="0"/>
    <xf numFmtId="3" fontId="68" fillId="68" borderId="16" applyNumberFormat="0" applyBorder="0" applyAlignment="0" applyProtection="0"/>
    <xf numFmtId="0" fontId="56" fillId="67" borderId="16"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36" fillId="0" borderId="0" applyFont="0" applyFill="0" applyBorder="0" applyAlignment="0" applyProtection="0"/>
    <xf numFmtId="165" fontId="14" fillId="0" borderId="0" applyFont="0" applyFill="0" applyBorder="0" applyAlignment="0" applyProtection="0"/>
    <xf numFmtId="165" fontId="36" fillId="0" borderId="0" applyFont="0" applyFill="0" applyBorder="0" applyAlignment="0" applyProtection="0"/>
    <xf numFmtId="165" fontId="6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71"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168" fontId="14" fillId="0" borderId="0" applyFont="0" applyFill="0" applyBorder="0" applyAlignment="0" applyProtection="0"/>
    <xf numFmtId="17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73" fontId="67" fillId="0" borderId="0" applyNumberFormat="0" applyFill="0" applyBorder="0" applyAlignment="0" applyProtection="0">
      <alignment vertical="top"/>
      <protection locked="0"/>
    </xf>
    <xf numFmtId="0" fontId="52" fillId="35" borderId="16"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0" fontId="69" fillId="0" borderId="0" applyNumberFormat="0" applyFill="0" applyBorder="0" applyAlignment="0" applyProtection="0"/>
    <xf numFmtId="174" fontId="70" fillId="69" borderId="0" applyNumberFormat="0" applyBorder="0" applyAlignment="0" applyProtection="0">
      <alignment horizontal="center" vertical="top" wrapText="1"/>
    </xf>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0" fontId="14" fillId="0" borderId="0"/>
    <xf numFmtId="0" fontId="11" fillId="0" borderId="0"/>
    <xf numFmtId="0" fontId="64" fillId="0" borderId="0" applyFill="0" applyBorder="0"/>
    <xf numFmtId="0" fontId="14" fillId="0" borderId="0"/>
    <xf numFmtId="0" fontId="3" fillId="0" borderId="0"/>
    <xf numFmtId="0" fontId="3" fillId="0" borderId="0"/>
    <xf numFmtId="0" fontId="3" fillId="0" borderId="0"/>
    <xf numFmtId="0" fontId="36" fillId="0" borderId="0"/>
    <xf numFmtId="0" fontId="3" fillId="0" borderId="0"/>
    <xf numFmtId="174" fontId="56" fillId="67" borderId="0" applyNumberFormat="0" applyBorder="0" applyAlignment="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0" fontId="53" fillId="29" borderId="17" applyNumberFormat="0" applyAlignment="0" applyProtection="0"/>
    <xf numFmtId="0" fontId="71" fillId="70" borderId="0" applyNumberFormat="0" applyAlignment="0" applyProtection="0"/>
    <xf numFmtId="0" fontId="72" fillId="65" borderId="0" applyNumberFormat="0" applyAlignment="0" applyProtection="0"/>
    <xf numFmtId="0" fontId="73" fillId="71" borderId="0" applyNumberFormat="0" applyAlignment="0" applyProtection="0"/>
    <xf numFmtId="174" fontId="63" fillId="66" borderId="0" applyNumberFormat="0" applyFill="0" applyBorder="0" applyAlignment="0">
      <alignment horizontal="center"/>
    </xf>
    <xf numFmtId="9" fontId="36"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0" fontId="62" fillId="29" borderId="16" applyNumberFormat="0" applyFill="0" applyBorder="0" applyAlignment="0" applyProtection="0"/>
    <xf numFmtId="0" fontId="66" fillId="29" borderId="16" applyFill="0" applyBorder="0" applyAlignment="0" applyProtection="0"/>
    <xf numFmtId="0" fontId="3" fillId="0" borderId="0"/>
    <xf numFmtId="165" fontId="3" fillId="0" borderId="0" applyFont="0" applyFill="0" applyBorder="0" applyAlignment="0" applyProtection="0"/>
    <xf numFmtId="0" fontId="14" fillId="0" borderId="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73" fontId="14" fillId="0" borderId="0"/>
    <xf numFmtId="3" fontId="14" fillId="67" borderId="16" applyFont="0" applyFill="0" applyBorder="0" applyAlignment="0" applyProtection="0"/>
    <xf numFmtId="0" fontId="14" fillId="0" borderId="0" applyNumberFormat="0" applyFont="0" applyFill="0" applyBorder="0" applyProtection="0">
      <alignment horizontal="left" vertical="center" indent="5"/>
    </xf>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71"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0" fontId="14" fillId="0" borderId="0" applyFont="0" applyFill="0" applyBorder="0" applyAlignment="0" applyProtection="0"/>
    <xf numFmtId="167" fontId="14" fillId="0" borderId="0" applyFont="0" applyFill="0" applyBorder="0" applyAlignment="0" applyProtection="0"/>
    <xf numFmtId="167"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7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5" fontId="3"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0" fontId="3" fillId="0" borderId="0"/>
    <xf numFmtId="0" fontId="3" fillId="0" borderId="0"/>
    <xf numFmtId="0" fontId="14" fillId="0" borderId="0"/>
    <xf numFmtId="0" fontId="3" fillId="0" borderId="0"/>
    <xf numFmtId="0" fontId="3" fillId="0" borderId="0"/>
    <xf numFmtId="0" fontId="14" fillId="24" borderId="0" applyNumberFormat="0" applyFont="0" applyBorder="0" applyAlignment="0" applyProtection="0"/>
    <xf numFmtId="0" fontId="14" fillId="25" borderId="9" applyNumberFormat="0" applyFont="0" applyAlignment="0" applyProtection="0"/>
    <xf numFmtId="0" fontId="14" fillId="25" borderId="9" applyNumberFormat="0" applyFont="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45" fillId="0" borderId="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4"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4" fillId="37" borderId="19" applyNumberFormat="0" applyFont="0" applyAlignment="0" applyProtection="0"/>
    <xf numFmtId="0" fontId="14"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14" fillId="37" borderId="19" applyNumberFormat="0" applyFont="0" applyAlignment="0" applyProtection="0"/>
    <xf numFmtId="0" fontId="10" fillId="37" borderId="19" applyNumberFormat="0" applyFont="0" applyAlignment="0" applyProtection="0"/>
    <xf numFmtId="0" fontId="10" fillId="37" borderId="19" applyNumberFormat="0" applyFont="0" applyAlignment="0" applyProtection="0"/>
    <xf numFmtId="0" fontId="77" fillId="0" borderId="0"/>
    <xf numFmtId="0" fontId="78" fillId="0" borderId="0">
      <alignment horizontal="right"/>
    </xf>
    <xf numFmtId="0" fontId="79" fillId="0" borderId="0"/>
    <xf numFmtId="0" fontId="80" fillId="0" borderId="0"/>
    <xf numFmtId="0" fontId="81" fillId="0" borderId="0"/>
    <xf numFmtId="0" fontId="82" fillId="0" borderId="21" applyNumberFormat="0" applyAlignment="0"/>
    <xf numFmtId="0" fontId="83" fillId="0" borderId="0" applyAlignment="0">
      <alignment horizontal="left"/>
    </xf>
    <xf numFmtId="0" fontId="83" fillId="0" borderId="0">
      <alignment horizontal="right"/>
    </xf>
    <xf numFmtId="172" fontId="83" fillId="0" borderId="0">
      <alignment horizontal="right"/>
    </xf>
    <xf numFmtId="166" fontId="84" fillId="0" borderId="0">
      <alignment horizontal="right"/>
    </xf>
    <xf numFmtId="0" fontId="85" fillId="0" borderId="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0" fontId="20" fillId="21" borderId="2" applyNumberFormat="0" applyAlignment="0" applyProtection="0"/>
    <xf numFmtId="0" fontId="44" fillId="29" borderId="16" applyNumberFormat="0" applyAlignment="0" applyProtection="0"/>
    <xf numFmtId="0" fontId="21" fillId="22" borderId="4" applyNumberFormat="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2"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36"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5" fontId="65" fillId="0" borderId="0" applyFont="0" applyFill="0" applyBorder="0" applyAlignment="0" applyProtection="0"/>
    <xf numFmtId="165" fontId="10" fillId="0" borderId="0" applyFont="0" applyFill="0" applyBorder="0" applyAlignment="0" applyProtection="0"/>
    <xf numFmtId="165" fontId="6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2"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6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43" fontId="10" fillId="0" borderId="0" applyFont="0" applyFill="0" applyBorder="0" applyAlignment="0" applyProtection="0"/>
    <xf numFmtId="165" fontId="14" fillId="0" borderId="0" applyFont="0" applyFill="0" applyBorder="0" applyAlignment="0" applyProtection="0"/>
    <xf numFmtId="43" fontId="10" fillId="0" borderId="0" applyFont="0" applyFill="0" applyBorder="0" applyAlignment="0" applyProtection="0"/>
    <xf numFmtId="165"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65"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2" fillId="0" borderId="0" applyFont="0" applyFill="0" applyBorder="0" applyAlignment="0" applyProtection="0"/>
    <xf numFmtId="0" fontId="39" fillId="0" borderId="5">
      <alignment horizontal="left" vertical="center" wrapText="1" indent="2"/>
    </xf>
    <xf numFmtId="0" fontId="39" fillId="0" borderId="5">
      <alignment horizontal="left" vertical="center" wrapText="1" indent="2"/>
    </xf>
    <xf numFmtId="0" fontId="39" fillId="0" borderId="5">
      <alignment horizontal="left" vertical="center" wrapText="1" indent="2"/>
    </xf>
    <xf numFmtId="0" fontId="39" fillId="0" borderId="5">
      <alignment horizontal="left" vertical="center" wrapText="1" indent="2"/>
    </xf>
    <xf numFmtId="0" fontId="22" fillId="0" borderId="0" applyNumberFormat="0" applyFill="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173" fontId="67"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27" fillId="7" borderId="2" applyNumberFormat="0" applyAlignment="0" applyProtection="0"/>
    <xf numFmtId="0" fontId="52" fillId="35" borderId="16" applyNumberFormat="0" applyAlignment="0" applyProtection="0"/>
    <xf numFmtId="0" fontId="27" fillId="7" borderId="2"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2"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2"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4"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alignment vertical="top"/>
      <protection locked="0"/>
    </xf>
    <xf numFmtId="0" fontId="87" fillId="0" borderId="0" applyNumberFormat="0" applyFill="0" applyBorder="0" applyAlignment="0" applyProtection="0"/>
    <xf numFmtId="0" fontId="87" fillId="0" borderId="0" applyNumberFormat="0" applyFill="0" applyBorder="0" applyAlignment="0" applyProtection="0"/>
    <xf numFmtId="0" fontId="69" fillId="0" borderId="0" applyNumberFormat="0" applyFill="0" applyBorder="0" applyAlignment="0" applyProtection="0"/>
    <xf numFmtId="0" fontId="87" fillId="0" borderId="0" applyNumberFormat="0" applyFill="0" applyBorder="0" applyAlignment="0" applyProtection="0">
      <alignment vertical="top"/>
      <protection locked="0"/>
    </xf>
    <xf numFmtId="0" fontId="28" fillId="0" borderId="3" applyNumberFormat="0" applyFill="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174"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4" fillId="0" borderId="0"/>
    <xf numFmtId="0" fontId="64"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14"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4" fillId="0" borderId="0" applyFill="0" applyBorder="0"/>
    <xf numFmtId="0" fontId="14" fillId="0" borderId="0"/>
    <xf numFmtId="0" fontId="2" fillId="0" borderId="0"/>
    <xf numFmtId="0" fontId="2" fillId="0" borderId="0"/>
    <xf numFmtId="0" fontId="2" fillId="0" borderId="0"/>
    <xf numFmtId="0" fontId="64"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56" fillId="67" borderId="0" applyNumberFormat="0" applyBorder="0" applyAlignment="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56" fillId="67" borderId="0" applyNumberFormat="0" applyBorder="0" applyAlignment="0"/>
    <xf numFmtId="4" fontId="39" fillId="0" borderId="1" applyFill="0" applyBorder="0" applyProtection="0">
      <alignment horizontal="right" vertical="center"/>
    </xf>
    <xf numFmtId="4" fontId="39" fillId="0" borderId="1" applyFill="0" applyBorder="0" applyProtection="0">
      <alignment horizontal="right" vertical="center"/>
    </xf>
    <xf numFmtId="4" fontId="39" fillId="0" borderId="1" applyFill="0" applyBorder="0" applyProtection="0">
      <alignment horizontal="right" vertical="center"/>
    </xf>
    <xf numFmtId="4" fontId="39" fillId="0" borderId="1" applyFill="0" applyBorder="0" applyProtection="0">
      <alignment horizontal="right" vertical="center"/>
    </xf>
    <xf numFmtId="4" fontId="39" fillId="0" borderId="1" applyFill="0" applyBorder="0" applyProtection="0">
      <alignment horizontal="right" vertical="center"/>
    </xf>
    <xf numFmtId="4" fontId="39" fillId="0" borderId="1" applyFill="0" applyBorder="0" applyProtection="0">
      <alignment horizontal="right" vertical="center"/>
    </xf>
    <xf numFmtId="4" fontId="39" fillId="0" borderId="1" applyFill="0" applyBorder="0" applyProtection="0">
      <alignment horizontal="right" vertical="center"/>
    </xf>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36"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36" fillId="25" borderId="9" applyNumberFormat="0" applyFont="0" applyAlignment="0" applyProtection="0"/>
    <xf numFmtId="0" fontId="36" fillId="25" borderId="9" applyNumberFormat="0" applyFont="0" applyAlignment="0" applyProtection="0"/>
    <xf numFmtId="0" fontId="36" fillId="25" borderId="9" applyNumberFormat="0" applyFont="0" applyAlignment="0" applyProtection="0"/>
    <xf numFmtId="0" fontId="36"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4" fillId="25" borderId="9" applyNumberFormat="0" applyFont="0" applyAlignment="0" applyProtection="0"/>
    <xf numFmtId="0" fontId="10" fillId="37" borderId="19" applyNumberFormat="0" applyFont="0" applyAlignment="0" applyProtection="0"/>
    <xf numFmtId="0" fontId="2" fillId="37" borderId="19" applyNumberFormat="0" applyFont="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6" fillId="0" borderId="0" applyFont="0" applyFill="0" applyBorder="0" applyAlignment="0" applyProtection="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30" fillId="21" borderId="10" applyNumberFormat="0" applyAlignment="0" applyProtection="0"/>
    <xf numFmtId="0" fontId="30" fillId="21" borderId="10" applyNumberFormat="0" applyAlignment="0" applyProtection="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2" fillId="0" borderId="0"/>
    <xf numFmtId="0" fontId="30" fillId="21" borderId="10" applyNumberFormat="0" applyAlignment="0" applyProtection="0"/>
    <xf numFmtId="0" fontId="53" fillId="29" borderId="17" applyNumberFormat="0" applyAlignment="0" applyProtection="0"/>
    <xf numFmtId="0" fontId="2" fillId="0" borderId="0"/>
    <xf numFmtId="0" fontId="2" fillId="0" borderId="0"/>
    <xf numFmtId="0" fontId="2" fillId="0" borderId="0"/>
    <xf numFmtId="0" fontId="2" fillId="0" borderId="0"/>
    <xf numFmtId="0" fontId="11"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14" fillId="0" borderId="0" applyFont="0" applyFill="0" applyBorder="0" applyAlignment="0" applyProtection="0"/>
    <xf numFmtId="0" fontId="2" fillId="0" borderId="0"/>
    <xf numFmtId="9" fontId="36" fillId="0" borderId="0" applyFont="0" applyFill="0" applyBorder="0" applyAlignment="0" applyProtection="0"/>
    <xf numFmtId="9" fontId="1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4"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NumberFormat="0" applyFill="0" applyBorder="0" applyAlignment="0" applyProtection="0"/>
    <xf numFmtId="0" fontId="2" fillId="0" borderId="0"/>
    <xf numFmtId="0" fontId="22" fillId="0" borderId="0" applyNumberFormat="0" applyFill="0" applyBorder="0" applyAlignment="0" applyProtection="0"/>
    <xf numFmtId="0" fontId="2" fillId="0" borderId="0"/>
    <xf numFmtId="0" fontId="2" fillId="0" borderId="0"/>
    <xf numFmtId="0" fontId="89" fillId="0" borderId="0" applyNumberFormat="0" applyFill="0" applyBorder="0" applyAlignment="0" applyProtection="0"/>
    <xf numFmtId="0" fontId="2" fillId="0" borderId="0"/>
    <xf numFmtId="0" fontId="2" fillId="0" borderId="0"/>
    <xf numFmtId="0" fontId="31" fillId="0" borderId="0" applyNumberFormat="0" applyFill="0" applyBorder="0" applyAlignment="0" applyProtection="0"/>
    <xf numFmtId="0" fontId="24" fillId="0" borderId="6" applyNumberFormat="0" applyFill="0" applyAlignment="0" applyProtection="0"/>
    <xf numFmtId="0" fontId="25" fillId="0" borderId="7" applyNumberFormat="0" applyFill="0" applyAlignment="0" applyProtection="0"/>
    <xf numFmtId="0" fontId="2" fillId="0" borderId="0"/>
    <xf numFmtId="0" fontId="26" fillId="0" borderId="8" applyNumberFormat="0" applyFill="0" applyAlignment="0" applyProtection="0"/>
    <xf numFmtId="0" fontId="2" fillId="0" borderId="0"/>
    <xf numFmtId="0" fontId="26" fillId="0" borderId="8" applyNumberFormat="0" applyFill="0" applyAlignment="0" applyProtection="0"/>
    <xf numFmtId="0" fontId="2" fillId="0" borderId="0"/>
    <xf numFmtId="0" fontId="26"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32" fillId="0" borderId="11" applyNumberFormat="0" applyFill="0" applyAlignment="0" applyProtection="0"/>
    <xf numFmtId="0" fontId="2" fillId="0" borderId="0"/>
    <xf numFmtId="0" fontId="75" fillId="0" borderId="20" applyNumberFormat="0" applyFill="0" applyAlignment="0" applyProtection="0"/>
    <xf numFmtId="0" fontId="32" fillId="0" borderId="11" applyNumberFormat="0" applyFill="0" applyAlignment="0" applyProtection="0"/>
    <xf numFmtId="0" fontId="32" fillId="0" borderId="11" applyNumberFormat="0" applyFill="0" applyAlignment="0" applyProtection="0"/>
    <xf numFmtId="0" fontId="2" fillId="0" borderId="0"/>
    <xf numFmtId="0" fontId="32" fillId="0" borderId="11" applyNumberFormat="0" applyFill="0" applyAlignment="0" applyProtection="0"/>
    <xf numFmtId="0" fontId="2" fillId="0" borderId="0"/>
    <xf numFmtId="0" fontId="2" fillId="0" borderId="0"/>
    <xf numFmtId="0" fontId="32" fillId="0" borderId="11" applyNumberFormat="0" applyFill="0" applyAlignment="0" applyProtection="0"/>
    <xf numFmtId="0" fontId="2" fillId="0" borderId="0"/>
    <xf numFmtId="0" fontId="2" fillId="0" borderId="0"/>
    <xf numFmtId="0" fontId="32" fillId="0" borderId="11" applyNumberFormat="0" applyFill="0" applyAlignment="0" applyProtection="0"/>
    <xf numFmtId="0" fontId="2" fillId="0" borderId="0"/>
    <xf numFmtId="0" fontId="32" fillId="0" borderId="11" applyNumberFormat="0" applyFill="0" applyAlignment="0" applyProtection="0"/>
    <xf numFmtId="0" fontId="2" fillId="0" borderId="0"/>
    <xf numFmtId="0" fontId="19" fillId="3" borderId="0" applyNumberFormat="0" applyBorder="0" applyAlignment="0" applyProtection="0"/>
    <xf numFmtId="0" fontId="2" fillId="0" borderId="0"/>
    <xf numFmtId="0" fontId="23" fillId="4" borderId="0" applyNumberFormat="0" applyBorder="0" applyAlignment="0" applyProtection="0"/>
    <xf numFmtId="0" fontId="2" fillId="0" borderId="0"/>
    <xf numFmtId="0" fontId="2" fillId="0" borderId="0"/>
    <xf numFmtId="0" fontId="15" fillId="0" borderId="0" applyNumberFormat="0" applyFill="0" applyBorder="0" applyAlignment="0" applyProtection="0"/>
    <xf numFmtId="0" fontId="2" fillId="0" borderId="0"/>
    <xf numFmtId="0" fontId="74" fillId="0" borderId="0" applyNumberFormat="0" applyFill="0" applyBorder="0" applyAlignment="0" applyProtection="0"/>
    <xf numFmtId="0" fontId="2" fillId="0" borderId="0"/>
    <xf numFmtId="0" fontId="2" fillId="0" borderId="0"/>
    <xf numFmtId="164" fontId="11"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1" fillId="0" borderId="0"/>
    <xf numFmtId="4" fontId="39" fillId="0" borderId="44" applyFill="0" applyBorder="0" applyProtection="0">
      <alignment horizontal="right" vertical="center"/>
    </xf>
    <xf numFmtId="0" fontId="1" fillId="0" borderId="0"/>
  </cellStyleXfs>
  <cellXfs count="390">
    <xf numFmtId="0" fontId="0" fillId="0" borderId="0" xfId="0"/>
    <xf numFmtId="0" fontId="42" fillId="0" borderId="0" xfId="902"/>
    <xf numFmtId="0" fontId="17" fillId="0" borderId="0" xfId="902" applyFont="1"/>
    <xf numFmtId="0" fontId="16" fillId="26" borderId="14" xfId="902" applyFont="1" applyFill="1" applyBorder="1"/>
    <xf numFmtId="0" fontId="16" fillId="27" borderId="14" xfId="902" applyFont="1" applyFill="1" applyBorder="1"/>
    <xf numFmtId="0" fontId="16" fillId="30" borderId="14" xfId="902" applyFont="1" applyFill="1" applyBorder="1"/>
    <xf numFmtId="1" fontId="0" fillId="0" borderId="0" xfId="0" applyNumberFormat="1"/>
    <xf numFmtId="0" fontId="0" fillId="0" borderId="13" xfId="0" applyBorder="1"/>
    <xf numFmtId="1" fontId="0" fillId="0" borderId="13" xfId="0" applyNumberFormat="1" applyBorder="1"/>
    <xf numFmtId="0" fontId="0" fillId="0" borderId="0" xfId="0" applyBorder="1"/>
    <xf numFmtId="0" fontId="0" fillId="0" borderId="0" xfId="0" applyFill="1" applyBorder="1"/>
    <xf numFmtId="0" fontId="47" fillId="0" borderId="0" xfId="0" applyFont="1"/>
    <xf numFmtId="0" fontId="0" fillId="0" borderId="15" xfId="0" applyBorder="1"/>
    <xf numFmtId="0" fontId="33" fillId="0" borderId="0" xfId="0" applyFont="1"/>
    <xf numFmtId="166" fontId="0" fillId="0" borderId="0" xfId="0" applyNumberFormat="1"/>
    <xf numFmtId="0" fontId="16" fillId="0" borderId="0" xfId="0" applyFont="1"/>
    <xf numFmtId="170" fontId="16" fillId="0" borderId="0" xfId="0" applyNumberFormat="1" applyFont="1" applyFill="1" applyBorder="1"/>
    <xf numFmtId="14" fontId="0" fillId="0" borderId="0" xfId="0" applyNumberFormat="1"/>
    <xf numFmtId="0" fontId="16" fillId="31" borderId="14" xfId="902" applyFont="1" applyFill="1" applyBorder="1"/>
    <xf numFmtId="166" fontId="0" fillId="0" borderId="0" xfId="0" applyNumberFormat="1" applyBorder="1"/>
    <xf numFmtId="1" fontId="0" fillId="0" borderId="0" xfId="0" applyNumberFormat="1" applyBorder="1"/>
    <xf numFmtId="166" fontId="0" fillId="0" borderId="13" xfId="0" applyNumberFormat="1" applyBorder="1"/>
    <xf numFmtId="0" fontId="14" fillId="0" borderId="0" xfId="928" applyFont="1" applyFill="1" applyBorder="1" applyAlignment="1"/>
    <xf numFmtId="0" fontId="14" fillId="0" borderId="13" xfId="928" applyFont="1" applyFill="1" applyBorder="1" applyAlignment="1"/>
    <xf numFmtId="0" fontId="0" fillId="0" borderId="12" xfId="0" applyBorder="1"/>
    <xf numFmtId="0" fontId="48" fillId="0" borderId="0" xfId="0" applyFont="1"/>
    <xf numFmtId="170" fontId="14" fillId="0" borderId="0" xfId="0" applyNumberFormat="1" applyFont="1" applyFill="1" applyBorder="1" applyAlignment="1">
      <alignment horizontal="left"/>
    </xf>
    <xf numFmtId="0" fontId="0" fillId="0" borderId="0" xfId="0" applyFont="1" applyAlignment="1">
      <alignment horizontal="left"/>
    </xf>
    <xf numFmtId="14" fontId="14" fillId="0" borderId="0" xfId="0" applyNumberFormat="1" applyFont="1" applyAlignment="1">
      <alignment horizontal="left"/>
    </xf>
    <xf numFmtId="0" fontId="8" fillId="0" borderId="0" xfId="1949"/>
    <xf numFmtId="0" fontId="14" fillId="0" borderId="0" xfId="1963" applyFont="1" applyFill="1" applyBorder="1" applyAlignment="1"/>
    <xf numFmtId="0" fontId="49" fillId="0" borderId="0" xfId="0" applyFont="1"/>
    <xf numFmtId="9" fontId="33" fillId="32" borderId="0" xfId="0" applyNumberFormat="1" applyFont="1" applyFill="1"/>
    <xf numFmtId="9" fontId="33" fillId="32" borderId="0" xfId="0" applyNumberFormat="1" applyFont="1" applyFill="1" applyAlignment="1">
      <alignment horizontal="left"/>
    </xf>
    <xf numFmtId="170" fontId="45" fillId="0" borderId="0" xfId="910" applyNumberFormat="1" applyFont="1" applyFill="1" applyBorder="1"/>
    <xf numFmtId="0" fontId="14" fillId="0" borderId="13" xfId="1963" applyFont="1" applyFill="1" applyBorder="1" applyAlignment="1"/>
    <xf numFmtId="172" fontId="33" fillId="32" borderId="0" xfId="0" applyNumberFormat="1" applyFont="1" applyFill="1"/>
    <xf numFmtId="1" fontId="0" fillId="0" borderId="0" xfId="0" applyNumberFormat="1" applyFill="1" applyBorder="1"/>
    <xf numFmtId="2" fontId="0" fillId="0" borderId="0" xfId="0" applyNumberFormat="1"/>
    <xf numFmtId="0" fontId="14" fillId="0" borderId="12" xfId="1963" applyFont="1" applyFill="1" applyBorder="1" applyAlignment="1"/>
    <xf numFmtId="0" fontId="0" fillId="32" borderId="0" xfId="0" applyFill="1"/>
    <xf numFmtId="166" fontId="8" fillId="0" borderId="0" xfId="1949" applyNumberFormat="1" applyAlignment="1">
      <alignment horizontal="center"/>
    </xf>
    <xf numFmtId="14" fontId="50" fillId="0" borderId="0" xfId="1965" applyNumberFormat="1" applyFont="1" applyAlignment="1">
      <alignment horizontal="left"/>
    </xf>
    <xf numFmtId="0" fontId="5" fillId="0" borderId="0" xfId="1949" applyFont="1"/>
    <xf numFmtId="0" fontId="4" fillId="0" borderId="0" xfId="1949" applyFont="1"/>
    <xf numFmtId="0" fontId="16" fillId="64" borderId="14" xfId="902" applyFont="1" applyFill="1" applyBorder="1"/>
    <xf numFmtId="2" fontId="0" fillId="0" borderId="13" xfId="0" applyNumberFormat="1" applyBorder="1"/>
    <xf numFmtId="2" fontId="0" fillId="0" borderId="0" xfId="0" applyNumberFormat="1" applyBorder="1"/>
    <xf numFmtId="0" fontId="0" fillId="0" borderId="0" xfId="0" applyFont="1"/>
    <xf numFmtId="0" fontId="0" fillId="0" borderId="0" xfId="0" applyFill="1"/>
    <xf numFmtId="0" fontId="45" fillId="0" borderId="13" xfId="1954" applyFont="1" applyFill="1" applyBorder="1"/>
    <xf numFmtId="0" fontId="45" fillId="0" borderId="0" xfId="1954" applyFont="1" applyFill="1"/>
    <xf numFmtId="0" fontId="45" fillId="0" borderId="0" xfId="1954" applyFont="1" applyFill="1" applyBorder="1"/>
    <xf numFmtId="0" fontId="45" fillId="0" borderId="0" xfId="1954" applyFont="1" applyFill="1"/>
    <xf numFmtId="14" fontId="0" fillId="0" borderId="0" xfId="0" applyNumberFormat="1" applyAlignment="1"/>
    <xf numFmtId="0" fontId="45" fillId="0" borderId="0" xfId="5019"/>
    <xf numFmtId="0" fontId="76" fillId="0" borderId="0" xfId="5019" applyFont="1"/>
    <xf numFmtId="0" fontId="75" fillId="0" borderId="0" xfId="5019" applyFont="1"/>
    <xf numFmtId="0" fontId="45" fillId="0" borderId="0" xfId="2466"/>
    <xf numFmtId="0" fontId="75" fillId="0" borderId="13" xfId="5019" applyFont="1" applyBorder="1"/>
    <xf numFmtId="0" fontId="33" fillId="72" borderId="0" xfId="0" applyFont="1" applyFill="1"/>
    <xf numFmtId="0" fontId="90" fillId="73" borderId="0" xfId="0" applyFont="1" applyFill="1"/>
    <xf numFmtId="166" fontId="0" fillId="32" borderId="0" xfId="0" applyNumberFormat="1" applyFill="1"/>
    <xf numFmtId="0" fontId="16" fillId="30" borderId="14" xfId="2485" applyFont="1" applyFill="1" applyBorder="1"/>
    <xf numFmtId="0" fontId="0" fillId="0" borderId="14" xfId="0" applyBorder="1"/>
    <xf numFmtId="0" fontId="0" fillId="74" borderId="0" xfId="0" applyFill="1"/>
    <xf numFmtId="0" fontId="0" fillId="32" borderId="0" xfId="0" applyFill="1" applyAlignment="1">
      <alignment horizontal="center"/>
    </xf>
    <xf numFmtId="0" fontId="0" fillId="32" borderId="0" xfId="0" applyFill="1" applyAlignment="1"/>
    <xf numFmtId="166" fontId="0" fillId="32" borderId="0" xfId="0" applyNumberFormat="1" applyFill="1" applyAlignment="1">
      <alignment horizontal="center"/>
    </xf>
    <xf numFmtId="166" fontId="0" fillId="64" borderId="0" xfId="0" applyNumberFormat="1" applyFill="1" applyAlignment="1">
      <alignment horizontal="center"/>
    </xf>
    <xf numFmtId="0" fontId="0" fillId="32" borderId="13" xfId="0" applyFill="1" applyBorder="1" applyAlignment="1">
      <alignment horizontal="center"/>
    </xf>
    <xf numFmtId="166" fontId="0" fillId="64" borderId="13" xfId="0" applyNumberFormat="1" applyFill="1" applyBorder="1" applyAlignment="1">
      <alignment horizontal="center"/>
    </xf>
    <xf numFmtId="0" fontId="0" fillId="32" borderId="13" xfId="0" applyFill="1" applyBorder="1"/>
    <xf numFmtId="166" fontId="0" fillId="32" borderId="13" xfId="0" applyNumberFormat="1" applyFill="1" applyBorder="1" applyAlignment="1">
      <alignment horizontal="center"/>
    </xf>
    <xf numFmtId="0" fontId="0" fillId="74" borderId="0" xfId="0" applyFill="1" applyBorder="1"/>
    <xf numFmtId="1" fontId="0" fillId="74" borderId="0" xfId="0" applyNumberFormat="1" applyFill="1" applyBorder="1"/>
    <xf numFmtId="0" fontId="14" fillId="74" borderId="0" xfId="1963" applyFont="1" applyFill="1" applyBorder="1" applyAlignment="1"/>
    <xf numFmtId="166" fontId="0" fillId="74" borderId="0" xfId="0" applyNumberFormat="1" applyFill="1"/>
    <xf numFmtId="0" fontId="0" fillId="74" borderId="13" xfId="0" applyFill="1" applyBorder="1"/>
    <xf numFmtId="1" fontId="0" fillId="74" borderId="13" xfId="0" applyNumberFormat="1" applyFill="1" applyBorder="1"/>
    <xf numFmtId="0" fontId="14" fillId="74" borderId="13" xfId="1963" applyFont="1" applyFill="1" applyBorder="1" applyAlignment="1"/>
    <xf numFmtId="166" fontId="0" fillId="74" borderId="13" xfId="0" applyNumberFormat="1" applyFill="1" applyBorder="1"/>
    <xf numFmtId="166" fontId="0" fillId="74" borderId="0" xfId="0" applyNumberFormat="1" applyFill="1" applyBorder="1"/>
    <xf numFmtId="0" fontId="0" fillId="75" borderId="0" xfId="0" applyFill="1" applyBorder="1"/>
    <xf numFmtId="1" fontId="0" fillId="75" borderId="0" xfId="0" applyNumberFormat="1" applyFill="1" applyBorder="1"/>
    <xf numFmtId="0" fontId="14" fillId="75" borderId="0" xfId="1963" applyFont="1" applyFill="1" applyBorder="1" applyAlignment="1"/>
    <xf numFmtId="166" fontId="0" fillId="75" borderId="0" xfId="0" applyNumberFormat="1" applyFill="1" applyBorder="1"/>
    <xf numFmtId="0" fontId="0" fillId="75" borderId="13" xfId="0" applyFill="1" applyBorder="1"/>
    <xf numFmtId="1" fontId="0" fillId="75" borderId="13" xfId="0" applyNumberFormat="1" applyFill="1" applyBorder="1"/>
    <xf numFmtId="0" fontId="14" fillId="75" borderId="13" xfId="1963" applyFont="1" applyFill="1" applyBorder="1" applyAlignment="1"/>
    <xf numFmtId="166" fontId="0" fillId="75" borderId="13" xfId="0" applyNumberFormat="1" applyFill="1" applyBorder="1"/>
    <xf numFmtId="0" fontId="0" fillId="75" borderId="0" xfId="0" applyFill="1"/>
    <xf numFmtId="166" fontId="0" fillId="75" borderId="0" xfId="0" applyNumberFormat="1" applyFill="1"/>
    <xf numFmtId="0" fontId="0" fillId="32" borderId="0" xfId="0" applyFill="1" applyBorder="1"/>
    <xf numFmtId="1" fontId="0" fillId="32" borderId="0" xfId="0" applyNumberFormat="1" applyFill="1" applyBorder="1"/>
    <xf numFmtId="0" fontId="14" fillId="32" borderId="0" xfId="1963" applyFont="1" applyFill="1" applyBorder="1" applyAlignment="1"/>
    <xf numFmtId="166" fontId="0" fillId="32" borderId="0" xfId="0" applyNumberFormat="1" applyFill="1" applyBorder="1"/>
    <xf numFmtId="1" fontId="0" fillId="32" borderId="13" xfId="0" applyNumberFormat="1" applyFill="1" applyBorder="1"/>
    <xf numFmtId="0" fontId="14" fillId="32" borderId="13" xfId="1963" applyFont="1" applyFill="1" applyBorder="1" applyAlignment="1"/>
    <xf numFmtId="166" fontId="0" fillId="32" borderId="13" xfId="0" applyNumberFormat="1" applyFill="1" applyBorder="1"/>
    <xf numFmtId="0" fontId="0" fillId="32" borderId="13" xfId="0" applyFill="1" applyBorder="1" applyAlignment="1"/>
    <xf numFmtId="0" fontId="91" fillId="32" borderId="0" xfId="0" applyFont="1" applyFill="1" applyAlignment="1">
      <alignment horizontal="left"/>
    </xf>
    <xf numFmtId="0" fontId="0" fillId="0" borderId="0" xfId="0" applyAlignment="1">
      <alignment horizontal="center"/>
    </xf>
    <xf numFmtId="0" fontId="0" fillId="32" borderId="12" xfId="0" applyFill="1" applyBorder="1"/>
    <xf numFmtId="1" fontId="0" fillId="32" borderId="12" xfId="0" applyNumberFormat="1" applyFill="1" applyBorder="1"/>
    <xf numFmtId="0" fontId="14" fillId="32" borderId="12" xfId="1963" applyFont="1" applyFill="1" applyBorder="1" applyAlignment="1"/>
    <xf numFmtId="166" fontId="0" fillId="32" borderId="12" xfId="0" applyNumberFormat="1" applyFill="1" applyBorder="1"/>
    <xf numFmtId="0" fontId="0" fillId="32" borderId="22" xfId="0" applyFill="1" applyBorder="1"/>
    <xf numFmtId="1" fontId="0" fillId="32" borderId="22" xfId="0" applyNumberFormat="1" applyFill="1" applyBorder="1"/>
    <xf numFmtId="0" fontId="14" fillId="32" borderId="22" xfId="1963" applyFont="1" applyFill="1" applyBorder="1" applyAlignment="1"/>
    <xf numFmtId="166" fontId="0" fillId="32" borderId="22" xfId="0" applyNumberFormat="1" applyFill="1" applyBorder="1"/>
    <xf numFmtId="0" fontId="0" fillId="74" borderId="14" xfId="0" applyFill="1" applyBorder="1"/>
    <xf numFmtId="1" fontId="0" fillId="74" borderId="14" xfId="0" applyNumberFormat="1" applyFill="1" applyBorder="1"/>
    <xf numFmtId="0" fontId="14" fillId="74" borderId="14" xfId="1963" applyFont="1" applyFill="1" applyBorder="1" applyAlignment="1"/>
    <xf numFmtId="166" fontId="0" fillId="74" borderId="14" xfId="0" applyNumberFormat="1" applyFill="1" applyBorder="1"/>
    <xf numFmtId="0" fontId="0" fillId="75" borderId="22" xfId="0" applyFill="1" applyBorder="1"/>
    <xf numFmtId="1" fontId="0" fillId="75" borderId="22" xfId="0" applyNumberFormat="1" applyFill="1" applyBorder="1"/>
    <xf numFmtId="0" fontId="14" fillId="75" borderId="22" xfId="1963" applyFont="1" applyFill="1" applyBorder="1" applyAlignment="1"/>
    <xf numFmtId="166" fontId="0" fillId="75" borderId="22" xfId="0" applyNumberFormat="1" applyFill="1" applyBorder="1"/>
    <xf numFmtId="0" fontId="91" fillId="32" borderId="0" xfId="0" applyFont="1" applyFill="1" applyAlignment="1">
      <alignment horizontal="center"/>
    </xf>
    <xf numFmtId="166" fontId="2" fillId="0" borderId="0" xfId="6458" applyNumberFormat="1" applyAlignment="1">
      <alignment horizontal="center"/>
    </xf>
    <xf numFmtId="166" fontId="2" fillId="64" borderId="0" xfId="6458" applyNumberFormat="1" applyFill="1" applyBorder="1" applyAlignment="1">
      <alignment horizontal="center"/>
    </xf>
    <xf numFmtId="0" fontId="2" fillId="64" borderId="0" xfId="6458" applyFill="1" applyBorder="1" applyAlignment="1">
      <alignment horizontal="center"/>
    </xf>
    <xf numFmtId="0" fontId="2" fillId="64" borderId="0" xfId="6458" applyFill="1" applyAlignment="1">
      <alignment horizontal="center"/>
    </xf>
    <xf numFmtId="166" fontId="2" fillId="64" borderId="0" xfId="6458" applyNumberFormat="1" applyFill="1" applyAlignment="1">
      <alignment horizontal="center"/>
    </xf>
    <xf numFmtId="0" fontId="0" fillId="32" borderId="23" xfId="0" applyFill="1" applyBorder="1" applyAlignment="1">
      <alignment horizontal="center"/>
    </xf>
    <xf numFmtId="166" fontId="0" fillId="64" borderId="23" xfId="0" applyNumberFormat="1" applyFill="1" applyBorder="1" applyAlignment="1">
      <alignment horizontal="center"/>
    </xf>
    <xf numFmtId="0" fontId="0" fillId="32" borderId="23" xfId="0" applyFill="1" applyBorder="1"/>
    <xf numFmtId="166" fontId="0" fillId="32" borderId="23" xfId="0" applyNumberFormat="1" applyFill="1" applyBorder="1" applyAlignment="1">
      <alignment horizontal="center"/>
    </xf>
    <xf numFmtId="0" fontId="0" fillId="32" borderId="23" xfId="0" applyFill="1" applyBorder="1" applyAlignment="1"/>
    <xf numFmtId="0" fontId="0" fillId="32" borderId="24" xfId="0" applyFill="1" applyBorder="1"/>
    <xf numFmtId="0" fontId="0" fillId="32" borderId="24" xfId="0" applyFill="1" applyBorder="1" applyAlignment="1">
      <alignment horizontal="center"/>
    </xf>
    <xf numFmtId="166" fontId="0" fillId="64" borderId="24" xfId="0" applyNumberFormat="1" applyFill="1" applyBorder="1" applyAlignment="1">
      <alignment horizontal="center"/>
    </xf>
    <xf numFmtId="166" fontId="0" fillId="32" borderId="24" xfId="0" applyNumberFormat="1" applyFill="1" applyBorder="1" applyAlignment="1">
      <alignment horizontal="center"/>
    </xf>
    <xf numFmtId="0" fontId="0" fillId="32" borderId="24" xfId="0" applyFill="1" applyBorder="1" applyAlignment="1"/>
    <xf numFmtId="0" fontId="0" fillId="32" borderId="0" xfId="0" applyFill="1" applyBorder="1" applyAlignment="1">
      <alignment horizontal="center"/>
    </xf>
    <xf numFmtId="166" fontId="0" fillId="64" borderId="0" xfId="0" applyNumberFormat="1" applyFill="1" applyBorder="1" applyAlignment="1">
      <alignment horizontal="center"/>
    </xf>
    <xf numFmtId="166" fontId="0" fillId="32" borderId="0" xfId="0" applyNumberFormat="1" applyFill="1" applyBorder="1" applyAlignment="1">
      <alignment horizontal="center"/>
    </xf>
    <xf numFmtId="0" fontId="0" fillId="32" borderId="0" xfId="0" applyFill="1" applyBorder="1" applyAlignment="1"/>
    <xf numFmtId="0" fontId="0" fillId="76" borderId="0" xfId="0" applyFill="1"/>
    <xf numFmtId="0" fontId="0" fillId="76" borderId="0" xfId="0" applyFill="1" applyBorder="1"/>
    <xf numFmtId="1" fontId="0" fillId="76" borderId="0" xfId="0" applyNumberFormat="1" applyFill="1" applyBorder="1"/>
    <xf numFmtId="0" fontId="14" fillId="76" borderId="0" xfId="1963" applyFont="1" applyFill="1" applyBorder="1" applyAlignment="1"/>
    <xf numFmtId="166" fontId="0" fillId="76" borderId="0" xfId="0" applyNumberFormat="1" applyFill="1"/>
    <xf numFmtId="0" fontId="0" fillId="76" borderId="23" xfId="0" applyFill="1" applyBorder="1"/>
    <xf numFmtId="1" fontId="0" fillId="76" borderId="23" xfId="0" applyNumberFormat="1" applyFill="1" applyBorder="1"/>
    <xf numFmtId="0" fontId="14" fillId="76" borderId="23" xfId="1963" applyFont="1" applyFill="1" applyBorder="1" applyAlignment="1"/>
    <xf numFmtId="166" fontId="0" fillId="76" borderId="23" xfId="0" applyNumberFormat="1" applyFill="1" applyBorder="1"/>
    <xf numFmtId="166" fontId="0" fillId="76" borderId="0" xfId="0" applyNumberFormat="1" applyFill="1" applyBorder="1"/>
    <xf numFmtId="14" fontId="0" fillId="0" borderId="0" xfId="0" applyNumberFormat="1" applyFont="1" applyAlignment="1">
      <alignment horizontal="left"/>
    </xf>
    <xf numFmtId="0" fontId="91" fillId="32" borderId="0" xfId="0" applyFont="1" applyFill="1" applyAlignment="1">
      <alignment horizontal="center"/>
    </xf>
    <xf numFmtId="0" fontId="2" fillId="0" borderId="0" xfId="1949" applyFont="1"/>
    <xf numFmtId="175" fontId="0" fillId="0" borderId="0" xfId="0" applyNumberFormat="1"/>
    <xf numFmtId="166" fontId="0" fillId="70" borderId="0" xfId="0" applyNumberFormat="1" applyFill="1" applyAlignment="1">
      <alignment horizontal="center"/>
    </xf>
    <xf numFmtId="166" fontId="0" fillId="70" borderId="0" xfId="0" applyNumberFormat="1" applyFont="1" applyFill="1" applyAlignment="1">
      <alignment horizontal="center"/>
    </xf>
    <xf numFmtId="0" fontId="17" fillId="0" borderId="0" xfId="6549" applyFont="1"/>
    <xf numFmtId="0" fontId="2" fillId="0" borderId="0" xfId="6549"/>
    <xf numFmtId="0" fontId="0" fillId="0" borderId="23" xfId="0" applyBorder="1"/>
    <xf numFmtId="0" fontId="16" fillId="26" borderId="14" xfId="6549" applyFont="1" applyFill="1" applyBorder="1"/>
    <xf numFmtId="0" fontId="16" fillId="30" borderId="14" xfId="6549" applyFont="1" applyFill="1" applyBorder="1"/>
    <xf numFmtId="0" fontId="16" fillId="31" borderId="14" xfId="6549" applyFont="1" applyFill="1" applyBorder="1"/>
    <xf numFmtId="0" fontId="16" fillId="27" borderId="14" xfId="6549" applyFont="1" applyFill="1" applyBorder="1"/>
    <xf numFmtId="0" fontId="0" fillId="74" borderId="23" xfId="0" applyFill="1" applyBorder="1"/>
    <xf numFmtId="1" fontId="0" fillId="74" borderId="23" xfId="0" applyNumberFormat="1" applyFill="1" applyBorder="1"/>
    <xf numFmtId="0" fontId="14" fillId="74" borderId="23" xfId="1963" applyFont="1" applyFill="1" applyBorder="1" applyAlignment="1"/>
    <xf numFmtId="166" fontId="0" fillId="74" borderId="23" xfId="0" applyNumberFormat="1" applyFill="1" applyBorder="1"/>
    <xf numFmtId="0" fontId="0" fillId="74" borderId="24" xfId="0" applyFill="1" applyBorder="1"/>
    <xf numFmtId="1" fontId="0" fillId="74" borderId="24" xfId="0" applyNumberFormat="1" applyFill="1" applyBorder="1"/>
    <xf numFmtId="166" fontId="0" fillId="74" borderId="24" xfId="0" applyNumberFormat="1" applyFill="1" applyBorder="1"/>
    <xf numFmtId="0" fontId="0" fillId="77" borderId="0" xfId="0" applyFill="1"/>
    <xf numFmtId="1" fontId="0" fillId="32" borderId="23" xfId="0" applyNumberFormat="1" applyFill="1" applyBorder="1"/>
    <xf numFmtId="0" fontId="14" fillId="32" borderId="23" xfId="1963" applyFont="1" applyFill="1" applyBorder="1" applyAlignment="1"/>
    <xf numFmtId="166" fontId="0" fillId="32" borderId="23" xfId="0" applyNumberFormat="1" applyFill="1" applyBorder="1"/>
    <xf numFmtId="1" fontId="0" fillId="32" borderId="24" xfId="0" applyNumberFormat="1" applyFill="1" applyBorder="1"/>
    <xf numFmtId="166" fontId="0" fillId="32" borderId="24" xfId="0" applyNumberFormat="1" applyFill="1" applyBorder="1"/>
    <xf numFmtId="1" fontId="0" fillId="32" borderId="23" xfId="0" quotePrefix="1" applyNumberFormat="1" applyFill="1" applyBorder="1"/>
    <xf numFmtId="0" fontId="0" fillId="75" borderId="23" xfId="0" applyFill="1" applyBorder="1"/>
    <xf numFmtId="1" fontId="0" fillId="75" borderId="23" xfId="0" applyNumberFormat="1" applyFill="1" applyBorder="1"/>
    <xf numFmtId="0" fontId="14" fillId="75" borderId="23" xfId="1963" applyFont="1" applyFill="1" applyBorder="1" applyAlignment="1"/>
    <xf numFmtId="166" fontId="0" fillId="75" borderId="23" xfId="0" applyNumberFormat="1" applyFill="1" applyBorder="1"/>
    <xf numFmtId="0" fontId="0" fillId="76" borderId="22" xfId="0" applyFill="1" applyBorder="1"/>
    <xf numFmtId="1" fontId="0" fillId="76" borderId="22" xfId="0" applyNumberFormat="1" applyFill="1" applyBorder="1"/>
    <xf numFmtId="0" fontId="14" fillId="76" borderId="22" xfId="1963" applyFont="1" applyFill="1" applyBorder="1" applyAlignment="1"/>
    <xf numFmtId="166" fontId="0" fillId="76" borderId="22" xfId="0" applyNumberFormat="1" applyFill="1" applyBorder="1"/>
    <xf numFmtId="0" fontId="95" fillId="0" borderId="0" xfId="0" applyFont="1"/>
    <xf numFmtId="0" fontId="96" fillId="0" borderId="0" xfId="0" applyFont="1"/>
    <xf numFmtId="0" fontId="17" fillId="0" borderId="0" xfId="8183" applyFont="1"/>
    <xf numFmtId="0" fontId="2" fillId="0" borderId="0" xfId="8183"/>
    <xf numFmtId="0" fontId="16" fillId="26" borderId="14" xfId="8183" applyFont="1" applyFill="1" applyBorder="1"/>
    <xf numFmtId="0" fontId="16" fillId="31" borderId="14" xfId="8183" applyFont="1" applyFill="1" applyBorder="1"/>
    <xf numFmtId="0" fontId="16" fillId="27" borderId="14" xfId="8183" applyFont="1" applyFill="1" applyBorder="1"/>
    <xf numFmtId="0" fontId="0" fillId="64" borderId="0" xfId="0" applyFill="1"/>
    <xf numFmtId="49" fontId="0" fillId="64" borderId="0" xfId="0" applyNumberFormat="1" applyFill="1"/>
    <xf numFmtId="0" fontId="0" fillId="64" borderId="0" xfId="0" applyFill="1" applyBorder="1"/>
    <xf numFmtId="2" fontId="0" fillId="64" borderId="0" xfId="0" applyNumberFormat="1" applyFill="1" applyBorder="1"/>
    <xf numFmtId="2" fontId="0" fillId="0" borderId="0" xfId="0" applyNumberFormat="1" applyFill="1" applyBorder="1"/>
    <xf numFmtId="0" fontId="97" fillId="0" borderId="0" xfId="0" applyFont="1"/>
    <xf numFmtId="0" fontId="95" fillId="78" borderId="0" xfId="0" applyFont="1" applyFill="1"/>
    <xf numFmtId="0" fontId="98" fillId="78" borderId="0" xfId="0" applyFont="1" applyFill="1"/>
    <xf numFmtId="0" fontId="98" fillId="0" borderId="0" xfId="0" applyFont="1" applyFill="1"/>
    <xf numFmtId="0" fontId="99" fillId="78" borderId="25" xfId="0" applyFont="1" applyFill="1" applyBorder="1" applyAlignment="1">
      <alignment vertical="center" wrapText="1"/>
    </xf>
    <xf numFmtId="0" fontId="99" fillId="78" borderId="26" xfId="0" applyFont="1" applyFill="1" applyBorder="1" applyAlignment="1">
      <alignment vertical="center" wrapText="1"/>
    </xf>
    <xf numFmtId="0" fontId="99" fillId="78" borderId="28" xfId="0" applyFont="1" applyFill="1" applyBorder="1" applyAlignment="1">
      <alignment vertical="center" wrapText="1"/>
    </xf>
    <xf numFmtId="0" fontId="99" fillId="78" borderId="31" xfId="0" applyFont="1" applyFill="1" applyBorder="1" applyAlignment="1">
      <alignment vertical="center" wrapText="1"/>
    </xf>
    <xf numFmtId="0" fontId="99" fillId="78" borderId="30" xfId="0" applyFont="1" applyFill="1" applyBorder="1" applyAlignment="1">
      <alignment vertical="center" wrapText="1"/>
    </xf>
    <xf numFmtId="0" fontId="100" fillId="32" borderId="0" xfId="0" applyFont="1" applyFill="1"/>
    <xf numFmtId="0" fontId="98" fillId="32" borderId="0" xfId="0" applyFont="1" applyFill="1"/>
    <xf numFmtId="0" fontId="95" fillId="32" borderId="0" xfId="0" applyFont="1" applyFill="1"/>
    <xf numFmtId="0" fontId="99" fillId="32" borderId="25" xfId="0" applyFont="1" applyFill="1" applyBorder="1" applyAlignment="1">
      <alignment vertical="center" wrapText="1"/>
    </xf>
    <xf numFmtId="0" fontId="99" fillId="32" borderId="26" xfId="0" applyFont="1" applyFill="1" applyBorder="1" applyAlignment="1">
      <alignment vertical="center" wrapText="1"/>
    </xf>
    <xf numFmtId="0" fontId="99" fillId="32" borderId="28" xfId="0" applyFont="1" applyFill="1" applyBorder="1" applyAlignment="1">
      <alignment vertical="center" wrapText="1"/>
    </xf>
    <xf numFmtId="0" fontId="99" fillId="32" borderId="31" xfId="0" applyFont="1" applyFill="1" applyBorder="1" applyAlignment="1">
      <alignment vertical="center" wrapText="1"/>
    </xf>
    <xf numFmtId="0" fontId="99" fillId="32" borderId="30" xfId="0" applyFont="1" applyFill="1" applyBorder="1" applyAlignment="1">
      <alignment vertical="center" wrapText="1"/>
    </xf>
    <xf numFmtId="2" fontId="98" fillId="0" borderId="0" xfId="0" applyNumberFormat="1" applyFont="1"/>
    <xf numFmtId="0" fontId="99" fillId="0" borderId="0" xfId="0" applyFont="1" applyFill="1"/>
    <xf numFmtId="0" fontId="99" fillId="0" borderId="0" xfId="0" applyFont="1"/>
    <xf numFmtId="0" fontId="95" fillId="0" borderId="32" xfId="0" applyFont="1" applyBorder="1"/>
    <xf numFmtId="0" fontId="75" fillId="0" borderId="24" xfId="8184" applyFont="1" applyFill="1" applyBorder="1"/>
    <xf numFmtId="0" fontId="95" fillId="0" borderId="33" xfId="0" applyFont="1" applyFill="1" applyBorder="1"/>
    <xf numFmtId="0" fontId="95" fillId="0" borderId="35" xfId="0" applyFont="1" applyBorder="1"/>
    <xf numFmtId="0" fontId="75" fillId="0" borderId="0" xfId="8184" applyFont="1" applyFill="1" applyBorder="1"/>
    <xf numFmtId="0" fontId="95" fillId="0" borderId="36" xfId="0" applyFont="1" applyFill="1" applyBorder="1"/>
    <xf numFmtId="0" fontId="99" fillId="0" borderId="38" xfId="0" applyFont="1" applyBorder="1"/>
    <xf numFmtId="0" fontId="2" fillId="0" borderId="23" xfId="8184" applyFont="1" applyFill="1" applyBorder="1"/>
    <xf numFmtId="0" fontId="99" fillId="0" borderId="39" xfId="0" applyFont="1" applyFill="1" applyBorder="1"/>
    <xf numFmtId="0" fontId="99" fillId="78" borderId="38" xfId="0" applyFont="1" applyFill="1" applyBorder="1"/>
    <xf numFmtId="0" fontId="99" fillId="78" borderId="23" xfId="0" applyFont="1" applyFill="1" applyBorder="1"/>
    <xf numFmtId="0" fontId="99" fillId="78" borderId="39" xfId="0" applyFont="1" applyFill="1" applyBorder="1"/>
    <xf numFmtId="0" fontId="99" fillId="78" borderId="40" xfId="0" applyFont="1" applyFill="1" applyBorder="1"/>
    <xf numFmtId="0" fontId="99" fillId="0" borderId="38" xfId="0" applyFont="1" applyFill="1" applyBorder="1"/>
    <xf numFmtId="0" fontId="99" fillId="0" borderId="23" xfId="0" applyFont="1" applyBorder="1"/>
    <xf numFmtId="0" fontId="99" fillId="0" borderId="39" xfId="0" applyFont="1" applyBorder="1"/>
    <xf numFmtId="0" fontId="99" fillId="70" borderId="40" xfId="0" applyFont="1" applyFill="1" applyBorder="1"/>
    <xf numFmtId="0" fontId="99" fillId="0" borderId="35" xfId="0" applyFont="1" applyBorder="1"/>
    <xf numFmtId="176" fontId="2" fillId="0" borderId="0" xfId="8185" applyNumberFormat="1" applyFont="1" applyFill="1" applyBorder="1"/>
    <xf numFmtId="177" fontId="99" fillId="0" borderId="36" xfId="901" applyNumberFormat="1" applyFont="1" applyFill="1" applyBorder="1" applyAlignment="1" applyProtection="1">
      <alignment horizontal="center"/>
    </xf>
    <xf numFmtId="2" fontId="99" fillId="78" borderId="32" xfId="0" applyNumberFormat="1" applyFont="1" applyFill="1" applyBorder="1"/>
    <xf numFmtId="2" fontId="99" fillId="78" borderId="24" xfId="0" applyNumberFormat="1" applyFont="1" applyFill="1" applyBorder="1"/>
    <xf numFmtId="2" fontId="99" fillId="78" borderId="33" xfId="0" applyNumberFormat="1" applyFont="1" applyFill="1" applyBorder="1"/>
    <xf numFmtId="2" fontId="99" fillId="78" borderId="37" xfId="0" applyNumberFormat="1" applyFont="1" applyFill="1" applyBorder="1"/>
    <xf numFmtId="2" fontId="99" fillId="0" borderId="24" xfId="0" applyNumberFormat="1" applyFont="1" applyBorder="1"/>
    <xf numFmtId="2" fontId="99" fillId="0" borderId="33" xfId="0" applyNumberFormat="1" applyFont="1" applyFill="1" applyBorder="1"/>
    <xf numFmtId="2" fontId="99" fillId="70" borderId="37" xfId="0" applyNumberFormat="1" applyFont="1" applyFill="1" applyBorder="1"/>
    <xf numFmtId="2" fontId="99" fillId="78" borderId="35" xfId="0" applyNumberFormat="1" applyFont="1" applyFill="1" applyBorder="1"/>
    <xf numFmtId="2" fontId="99" fillId="78" borderId="0" xfId="0" applyNumberFormat="1" applyFont="1" applyFill="1" applyBorder="1"/>
    <xf numFmtId="2" fontId="99" fillId="78" borderId="36" xfId="0" applyNumberFormat="1" applyFont="1" applyFill="1" applyBorder="1"/>
    <xf numFmtId="2" fontId="99" fillId="0" borderId="35" xfId="0" applyNumberFormat="1" applyFont="1" applyFill="1" applyBorder="1"/>
    <xf numFmtId="2" fontId="99" fillId="0" borderId="0" xfId="0" applyNumberFormat="1" applyFont="1" applyBorder="1"/>
    <xf numFmtId="2" fontId="99" fillId="0" borderId="36" xfId="0" applyNumberFormat="1" applyFont="1" applyFill="1" applyBorder="1"/>
    <xf numFmtId="176" fontId="2" fillId="0" borderId="23" xfId="8185" applyNumberFormat="1" applyFont="1" applyFill="1" applyBorder="1"/>
    <xf numFmtId="177" fontId="99" fillId="0" borderId="39" xfId="901" applyNumberFormat="1" applyFont="1" applyFill="1" applyBorder="1" applyAlignment="1" applyProtection="1">
      <alignment horizontal="center"/>
    </xf>
    <xf numFmtId="2" fontId="99" fillId="78" borderId="38" xfId="0" applyNumberFormat="1" applyFont="1" applyFill="1" applyBorder="1"/>
    <xf numFmtId="2" fontId="99" fillId="78" borderId="23" xfId="0" applyNumberFormat="1" applyFont="1" applyFill="1" applyBorder="1"/>
    <xf numFmtId="2" fontId="99" fillId="78" borderId="39" xfId="0" applyNumberFormat="1" applyFont="1" applyFill="1" applyBorder="1"/>
    <xf numFmtId="2" fontId="99" fillId="78" borderId="40" xfId="0" applyNumberFormat="1" applyFont="1" applyFill="1" applyBorder="1"/>
    <xf numFmtId="2" fontId="99" fillId="0" borderId="38" xfId="0" applyNumberFormat="1" applyFont="1" applyFill="1" applyBorder="1"/>
    <xf numFmtId="2" fontId="99" fillId="0" borderId="23" xfId="0" applyNumberFormat="1" applyFont="1" applyBorder="1"/>
    <xf numFmtId="2" fontId="99" fillId="0" borderId="39" xfId="0" applyNumberFormat="1" applyFont="1" applyFill="1" applyBorder="1"/>
    <xf numFmtId="2" fontId="99" fillId="70" borderId="40" xfId="0" applyNumberFormat="1" applyFont="1" applyFill="1" applyBorder="1"/>
    <xf numFmtId="0" fontId="101" fillId="77" borderId="0" xfId="0" applyFont="1" applyFill="1"/>
    <xf numFmtId="0" fontId="0" fillId="74" borderId="0" xfId="0" applyFont="1" applyFill="1" applyBorder="1"/>
    <xf numFmtId="0" fontId="17" fillId="0" borderId="0" xfId="8186" applyFont="1"/>
    <xf numFmtId="0" fontId="2" fillId="0" borderId="0" xfId="8186"/>
    <xf numFmtId="9" fontId="0" fillId="0" borderId="0" xfId="0" applyNumberFormat="1"/>
    <xf numFmtId="0" fontId="2" fillId="0" borderId="0" xfId="8187"/>
    <xf numFmtId="0" fontId="16" fillId="26" borderId="14" xfId="8187" applyFont="1" applyFill="1" applyBorder="1"/>
    <xf numFmtId="0" fontId="16" fillId="30" borderId="14" xfId="8187" applyFont="1" applyFill="1" applyBorder="1"/>
    <xf numFmtId="0" fontId="16" fillId="31" borderId="14" xfId="8187" applyFont="1" applyFill="1" applyBorder="1"/>
    <xf numFmtId="0" fontId="16" fillId="27" borderId="14" xfId="8187" applyFont="1" applyFill="1" applyBorder="1"/>
    <xf numFmtId="0" fontId="16" fillId="0" borderId="0" xfId="8187" applyFont="1" applyFill="1" applyBorder="1"/>
    <xf numFmtId="0" fontId="16" fillId="27" borderId="0" xfId="8187" applyFont="1" applyFill="1" applyBorder="1"/>
    <xf numFmtId="2" fontId="0" fillId="0" borderId="0" xfId="8182" applyNumberFormat="1" applyFont="1"/>
    <xf numFmtId="2" fontId="102" fillId="64" borderId="0" xfId="0" applyNumberFormat="1" applyFont="1" applyFill="1" applyBorder="1"/>
    <xf numFmtId="0" fontId="102" fillId="64" borderId="0" xfId="0" applyFont="1" applyFill="1" applyBorder="1"/>
    <xf numFmtId="9" fontId="33" fillId="32" borderId="0" xfId="0" applyNumberFormat="1" applyFont="1" applyFill="1" applyAlignment="1">
      <alignment horizontal="left" wrapText="1"/>
    </xf>
    <xf numFmtId="0" fontId="16" fillId="27" borderId="0" xfId="902" applyFont="1" applyFill="1" applyBorder="1"/>
    <xf numFmtId="0" fontId="0" fillId="79" borderId="0" xfId="0" applyFont="1" applyFill="1"/>
    <xf numFmtId="0" fontId="0" fillId="80" borderId="0" xfId="0" applyFont="1" applyFill="1"/>
    <xf numFmtId="0" fontId="0" fillId="74" borderId="0" xfId="0" applyFont="1" applyFill="1"/>
    <xf numFmtId="0" fontId="0" fillId="79" borderId="0" xfId="0" applyFont="1" applyFill="1" applyBorder="1"/>
    <xf numFmtId="0" fontId="0" fillId="80" borderId="0" xfId="0" applyFont="1" applyFill="1" applyBorder="1"/>
    <xf numFmtId="0" fontId="103" fillId="0" borderId="0" xfId="0" applyFont="1"/>
    <xf numFmtId="0" fontId="45" fillId="64" borderId="0" xfId="1954" applyFont="1" applyFill="1"/>
    <xf numFmtId="0" fontId="104" fillId="81" borderId="0" xfId="0" applyNumberFormat="1" applyFont="1" applyFill="1" applyBorder="1" applyAlignment="1" applyProtection="1"/>
    <xf numFmtId="166" fontId="0" fillId="0" borderId="23" xfId="0" applyNumberFormat="1" applyBorder="1"/>
    <xf numFmtId="0" fontId="62" fillId="81" borderId="0" xfId="0" applyNumberFormat="1" applyFont="1" applyFill="1" applyBorder="1" applyAlignment="1" applyProtection="1"/>
    <xf numFmtId="0" fontId="62" fillId="0" borderId="0" xfId="1954" applyFont="1" applyFill="1"/>
    <xf numFmtId="0" fontId="56" fillId="64" borderId="0" xfId="1954" applyFont="1" applyFill="1"/>
    <xf numFmtId="0" fontId="56" fillId="64" borderId="0" xfId="0" applyNumberFormat="1" applyFont="1" applyFill="1" applyBorder="1" applyAlignment="1" applyProtection="1"/>
    <xf numFmtId="0" fontId="0" fillId="0" borderId="0" xfId="0" applyNumberFormat="1" applyFont="1" applyFill="1" applyBorder="1" applyAlignment="1" applyProtection="1"/>
    <xf numFmtId="0" fontId="105" fillId="0" borderId="0" xfId="0" applyNumberFormat="1" applyFont="1" applyFill="1" applyBorder="1" applyAlignment="1" applyProtection="1"/>
    <xf numFmtId="175" fontId="0" fillId="0" borderId="0" xfId="0" applyNumberFormat="1" applyFont="1" applyFill="1" applyBorder="1" applyAlignment="1" applyProtection="1"/>
    <xf numFmtId="1" fontId="0" fillId="0" borderId="0" xfId="0" applyNumberFormat="1" applyFont="1" applyFill="1" applyBorder="1" applyAlignment="1" applyProtection="1"/>
    <xf numFmtId="0" fontId="0" fillId="82" borderId="0" xfId="0" applyNumberFormat="1" applyFont="1" applyFill="1" applyBorder="1" applyAlignment="1" applyProtection="1"/>
    <xf numFmtId="0" fontId="91" fillId="82" borderId="0" xfId="0" applyNumberFormat="1" applyFont="1" applyFill="1" applyBorder="1" applyAlignment="1" applyProtection="1">
      <alignment horizontal="center"/>
    </xf>
    <xf numFmtId="0" fontId="91" fillId="82" borderId="0" xfId="0" applyNumberFormat="1" applyFont="1" applyFill="1" applyBorder="1" applyAlignment="1" applyProtection="1">
      <alignment horizontal="left"/>
    </xf>
    <xf numFmtId="0" fontId="0" fillId="82" borderId="0" xfId="0" applyNumberFormat="1" applyFont="1" applyFill="1" applyBorder="1" applyAlignment="1" applyProtection="1">
      <alignment horizontal="center"/>
    </xf>
    <xf numFmtId="166" fontId="0" fillId="64" borderId="0" xfId="0" applyNumberFormat="1" applyFont="1" applyFill="1" applyBorder="1" applyAlignment="1" applyProtection="1">
      <alignment horizontal="center"/>
    </xf>
    <xf numFmtId="166" fontId="0" fillId="82" borderId="0" xfId="0" applyNumberFormat="1" applyFont="1" applyFill="1" applyBorder="1" applyAlignment="1" applyProtection="1">
      <alignment horizontal="center"/>
    </xf>
    <xf numFmtId="166" fontId="0" fillId="0" borderId="0" xfId="0" applyNumberFormat="1" applyFont="1" applyFill="1" applyBorder="1" applyAlignment="1" applyProtection="1"/>
    <xf numFmtId="0" fontId="0" fillId="82" borderId="41" xfId="0" applyNumberFormat="1" applyFont="1" applyFill="1" applyBorder="1" applyAlignment="1" applyProtection="1">
      <alignment horizontal="center"/>
    </xf>
    <xf numFmtId="166" fontId="0" fillId="64" borderId="41" xfId="0" applyNumberFormat="1" applyFont="1" applyFill="1" applyBorder="1" applyAlignment="1" applyProtection="1">
      <alignment horizontal="center"/>
    </xf>
    <xf numFmtId="0" fontId="0" fillId="82" borderId="41" xfId="0" applyNumberFormat="1" applyFont="1" applyFill="1" applyBorder="1" applyAlignment="1" applyProtection="1"/>
    <xf numFmtId="166" fontId="0" fillId="82" borderId="41" xfId="0" applyNumberFormat="1" applyFont="1" applyFill="1" applyBorder="1" applyAlignment="1" applyProtection="1">
      <alignment horizontal="center"/>
    </xf>
    <xf numFmtId="0" fontId="0" fillId="82" borderId="42" xfId="0" applyNumberFormat="1" applyFont="1" applyFill="1" applyBorder="1" applyAlignment="1" applyProtection="1"/>
    <xf numFmtId="166" fontId="0" fillId="70" borderId="0" xfId="0" applyNumberFormat="1" applyFont="1" applyFill="1" applyBorder="1" applyAlignment="1" applyProtection="1">
      <alignment horizontal="center"/>
    </xf>
    <xf numFmtId="0" fontId="17" fillId="0" borderId="0" xfId="0" applyNumberFormat="1" applyFont="1" applyFill="1" applyBorder="1" applyAlignment="1" applyProtection="1"/>
    <xf numFmtId="0" fontId="10" fillId="0" borderId="0" xfId="0" applyNumberFormat="1" applyFont="1" applyFill="1" applyBorder="1" applyAlignment="1" applyProtection="1"/>
    <xf numFmtId="0" fontId="0" fillId="0" borderId="41" xfId="0" applyNumberFormat="1" applyFont="1" applyFill="1" applyBorder="1" applyAlignment="1" applyProtection="1"/>
    <xf numFmtId="0" fontId="16" fillId="83" borderId="43" xfId="0" applyNumberFormat="1" applyFont="1" applyFill="1" applyBorder="1" applyAlignment="1" applyProtection="1"/>
    <xf numFmtId="0" fontId="16" fillId="84" borderId="43" xfId="0" applyNumberFormat="1" applyFont="1" applyFill="1" applyBorder="1" applyAlignment="1" applyProtection="1"/>
    <xf numFmtId="0" fontId="16" fillId="85" borderId="43" xfId="0" applyNumberFormat="1" applyFont="1" applyFill="1" applyBorder="1" applyAlignment="1" applyProtection="1"/>
    <xf numFmtId="0" fontId="16" fillId="86" borderId="43" xfId="0" applyNumberFormat="1" applyFont="1" applyFill="1" applyBorder="1" applyAlignment="1" applyProtection="1"/>
    <xf numFmtId="0" fontId="0" fillId="0" borderId="43" xfId="0" applyNumberFormat="1" applyFont="1" applyFill="1" applyBorder="1" applyAlignment="1" applyProtection="1"/>
    <xf numFmtId="1" fontId="106" fillId="87" borderId="44" xfId="0" applyNumberFormat="1" applyFont="1" applyFill="1" applyBorder="1" applyAlignment="1" applyProtection="1">
      <alignment horizontal="center"/>
    </xf>
    <xf numFmtId="0" fontId="0" fillId="88" borderId="0" xfId="0" applyNumberFormat="1" applyFont="1" applyFill="1" applyBorder="1" applyAlignment="1" applyProtection="1"/>
    <xf numFmtId="1" fontId="0" fillId="88" borderId="0" xfId="0" applyNumberFormat="1" applyFont="1" applyFill="1" applyBorder="1" applyAlignment="1" applyProtection="1"/>
    <xf numFmtId="0" fontId="14" fillId="88" borderId="0" xfId="0" applyNumberFormat="1" applyFont="1" applyFill="1" applyBorder="1" applyAlignment="1" applyProtection="1"/>
    <xf numFmtId="166" fontId="0" fillId="88" borderId="0" xfId="0" applyNumberFormat="1" applyFont="1" applyFill="1" applyBorder="1" applyAlignment="1" applyProtection="1"/>
    <xf numFmtId="0" fontId="0" fillId="88" borderId="41" xfId="0" applyNumberFormat="1" applyFont="1" applyFill="1" applyBorder="1" applyAlignment="1" applyProtection="1"/>
    <xf numFmtId="1" fontId="0" fillId="88" borderId="41" xfId="0" applyNumberFormat="1" applyFont="1" applyFill="1" applyBorder="1" applyAlignment="1" applyProtection="1"/>
    <xf numFmtId="0" fontId="14" fillId="88" borderId="41" xfId="0" applyNumberFormat="1" applyFont="1" applyFill="1" applyBorder="1" applyAlignment="1" applyProtection="1"/>
    <xf numFmtId="166" fontId="0" fillId="88" borderId="41" xfId="0" applyNumberFormat="1" applyFont="1" applyFill="1" applyBorder="1" applyAlignment="1" applyProtection="1"/>
    <xf numFmtId="1" fontId="0" fillId="82" borderId="0" xfId="0" applyNumberFormat="1" applyFont="1" applyFill="1" applyBorder="1" applyAlignment="1" applyProtection="1"/>
    <xf numFmtId="0" fontId="14" fillId="82" borderId="0" xfId="0" applyNumberFormat="1" applyFont="1" applyFill="1" applyBorder="1" applyAlignment="1" applyProtection="1"/>
    <xf numFmtId="166" fontId="0" fillId="82" borderId="0" xfId="0" applyNumberFormat="1" applyFont="1" applyFill="1" applyBorder="1" applyAlignment="1" applyProtection="1"/>
    <xf numFmtId="1" fontId="0" fillId="82" borderId="41" xfId="0" applyNumberFormat="1" applyFont="1" applyFill="1" applyBorder="1" applyAlignment="1" applyProtection="1"/>
    <xf numFmtId="0" fontId="14" fillId="82" borderId="41" xfId="0" applyNumberFormat="1" applyFont="1" applyFill="1" applyBorder="1" applyAlignment="1" applyProtection="1"/>
    <xf numFmtId="166" fontId="0" fillId="82" borderId="41" xfId="0" applyNumberFormat="1" applyFont="1" applyFill="1" applyBorder="1" applyAlignment="1" applyProtection="1"/>
    <xf numFmtId="0" fontId="0" fillId="89" borderId="0" xfId="0" applyNumberFormat="1" applyFont="1" applyFill="1" applyBorder="1" applyAlignment="1" applyProtection="1"/>
    <xf numFmtId="1" fontId="0" fillId="89" borderId="0" xfId="0" applyNumberFormat="1" applyFont="1" applyFill="1" applyBorder="1" applyAlignment="1" applyProtection="1"/>
    <xf numFmtId="0" fontId="14" fillId="89" borderId="0" xfId="0" applyNumberFormat="1" applyFont="1" applyFill="1" applyBorder="1" applyAlignment="1" applyProtection="1"/>
    <xf numFmtId="166" fontId="0" fillId="89" borderId="0" xfId="0" applyNumberFormat="1" applyFont="1" applyFill="1" applyBorder="1" applyAlignment="1" applyProtection="1"/>
    <xf numFmtId="0" fontId="0" fillId="89" borderId="41" xfId="0" applyNumberFormat="1" applyFont="1" applyFill="1" applyBorder="1" applyAlignment="1" applyProtection="1"/>
    <xf numFmtId="1" fontId="0" fillId="89" borderId="41" xfId="0" applyNumberFormat="1" applyFont="1" applyFill="1" applyBorder="1" applyAlignment="1" applyProtection="1"/>
    <xf numFmtId="0" fontId="14" fillId="89" borderId="41" xfId="0" applyNumberFormat="1" applyFont="1" applyFill="1" applyBorder="1" applyAlignment="1" applyProtection="1"/>
    <xf numFmtId="166" fontId="0" fillId="89" borderId="41" xfId="0" applyNumberFormat="1" applyFont="1" applyFill="1" applyBorder="1" applyAlignment="1" applyProtection="1"/>
    <xf numFmtId="0" fontId="0" fillId="72" borderId="0" xfId="0" applyNumberFormat="1" applyFont="1" applyFill="1" applyBorder="1" applyAlignment="1" applyProtection="1"/>
    <xf numFmtId="1" fontId="0" fillId="72" borderId="0" xfId="0" applyNumberFormat="1" applyFont="1" applyFill="1" applyBorder="1" applyAlignment="1" applyProtection="1"/>
    <xf numFmtId="0" fontId="14" fillId="72" borderId="0" xfId="0" applyNumberFormat="1" applyFont="1" applyFill="1" applyBorder="1" applyAlignment="1" applyProtection="1"/>
    <xf numFmtId="166" fontId="0" fillId="72" borderId="0" xfId="0" applyNumberFormat="1" applyFont="1" applyFill="1" applyBorder="1" applyAlignment="1" applyProtection="1"/>
    <xf numFmtId="0" fontId="0" fillId="72" borderId="41" xfId="0" applyNumberFormat="1" applyFont="1" applyFill="1" applyBorder="1" applyAlignment="1" applyProtection="1"/>
    <xf numFmtId="1" fontId="0" fillId="72" borderId="41" xfId="0" applyNumberFormat="1" applyFont="1" applyFill="1" applyBorder="1" applyAlignment="1" applyProtection="1"/>
    <xf numFmtId="0" fontId="14" fillId="72" borderId="41" xfId="0" applyNumberFormat="1" applyFont="1" applyFill="1" applyBorder="1" applyAlignment="1" applyProtection="1"/>
    <xf numFmtId="166" fontId="0" fillId="72" borderId="41" xfId="0" applyNumberFormat="1" applyFont="1" applyFill="1" applyBorder="1" applyAlignment="1" applyProtection="1"/>
    <xf numFmtId="0" fontId="14" fillId="0" borderId="0" xfId="0" applyNumberFormat="1" applyFont="1" applyFill="1" applyBorder="1" applyAlignment="1" applyProtection="1"/>
    <xf numFmtId="178" fontId="17" fillId="0" borderId="0" xfId="0" applyNumberFormat="1" applyFont="1" applyFill="1" applyBorder="1" applyAlignment="1" applyProtection="1"/>
    <xf numFmtId="178" fontId="14" fillId="0" borderId="0" xfId="0" applyNumberFormat="1" applyFont="1" applyFill="1" applyBorder="1" applyAlignment="1" applyProtection="1"/>
    <xf numFmtId="2" fontId="0" fillId="0" borderId="0" xfId="0" applyNumberFormat="1" applyFont="1" applyFill="1" applyBorder="1" applyAlignment="1" applyProtection="1"/>
    <xf numFmtId="2" fontId="0" fillId="72" borderId="0" xfId="0" applyNumberFormat="1" applyFont="1" applyFill="1" applyBorder="1" applyAlignment="1" applyProtection="1"/>
    <xf numFmtId="0" fontId="0" fillId="0" borderId="0" xfId="0" applyNumberFormat="1" applyFont="1" applyFill="1" applyBorder="1" applyAlignment="1" applyProtection="1">
      <alignment horizontal="center"/>
    </xf>
    <xf numFmtId="14" fontId="0" fillId="0" borderId="0" xfId="0" applyNumberFormat="1" applyFont="1" applyFill="1" applyBorder="1" applyAlignment="1" applyProtection="1"/>
    <xf numFmtId="0" fontId="33" fillId="0" borderId="0" xfId="0" applyNumberFormat="1" applyFont="1" applyFill="1" applyBorder="1" applyAlignment="1" applyProtection="1"/>
    <xf numFmtId="0" fontId="45" fillId="64" borderId="13" xfId="1954" applyFont="1" applyFill="1" applyBorder="1"/>
    <xf numFmtId="0" fontId="75" fillId="90" borderId="45" xfId="901" applyFont="1" applyFill="1" applyBorder="1" applyAlignment="1">
      <alignment horizontal="left"/>
    </xf>
    <xf numFmtId="0" fontId="75" fillId="90" borderId="46" xfId="901" applyFont="1" applyFill="1" applyBorder="1" applyAlignment="1">
      <alignment horizontal="center"/>
    </xf>
    <xf numFmtId="0" fontId="75" fillId="90" borderId="47" xfId="901" applyFont="1" applyFill="1" applyBorder="1" applyAlignment="1">
      <alignment horizontal="center"/>
    </xf>
    <xf numFmtId="0" fontId="14" fillId="90" borderId="48" xfId="901" applyFont="1" applyFill="1" applyBorder="1" applyAlignment="1">
      <alignment horizontal="left"/>
    </xf>
    <xf numFmtId="177" fontId="14" fillId="90" borderId="0" xfId="901" applyNumberFormat="1" applyFont="1" applyFill="1" applyBorder="1" applyAlignment="1">
      <alignment horizontal="center"/>
    </xf>
    <xf numFmtId="0" fontId="0" fillId="64" borderId="41" xfId="0" applyFill="1" applyBorder="1"/>
    <xf numFmtId="49" fontId="0" fillId="64" borderId="41" xfId="0" applyNumberFormat="1" applyFill="1" applyBorder="1"/>
    <xf numFmtId="2" fontId="0" fillId="64" borderId="41" xfId="0" applyNumberFormat="1" applyFill="1" applyBorder="1"/>
    <xf numFmtId="2" fontId="0" fillId="0" borderId="41" xfId="0" applyNumberFormat="1" applyBorder="1"/>
    <xf numFmtId="0" fontId="0" fillId="0" borderId="41" xfId="0" applyBorder="1"/>
    <xf numFmtId="2" fontId="0" fillId="64" borderId="0" xfId="0" applyNumberFormat="1" applyFill="1"/>
    <xf numFmtId="9" fontId="33" fillId="32" borderId="0" xfId="0" applyNumberFormat="1" applyFont="1" applyFill="1" applyAlignment="1">
      <alignment horizontal="left" wrapText="1"/>
    </xf>
    <xf numFmtId="0" fontId="95" fillId="78" borderId="32" xfId="0" applyFont="1" applyFill="1" applyBorder="1" applyAlignment="1">
      <alignment horizontal="center" wrapText="1"/>
    </xf>
    <xf numFmtId="0" fontId="95" fillId="78" borderId="35" xfId="0" applyFont="1" applyFill="1" applyBorder="1" applyAlignment="1">
      <alignment horizontal="center" wrapText="1"/>
    </xf>
    <xf numFmtId="0" fontId="99" fillId="78" borderId="27" xfId="0" applyFont="1" applyFill="1" applyBorder="1" applyAlignment="1">
      <alignment vertical="center" wrapText="1"/>
    </xf>
    <xf numFmtId="0" fontId="99" fillId="78" borderId="29" xfId="0" applyFont="1" applyFill="1" applyBorder="1" applyAlignment="1">
      <alignment vertical="center" wrapText="1"/>
    </xf>
    <xf numFmtId="0" fontId="99" fillId="78" borderId="30" xfId="0" applyFont="1" applyFill="1" applyBorder="1" applyAlignment="1">
      <alignment vertical="center" wrapText="1"/>
    </xf>
    <xf numFmtId="0" fontId="99" fillId="32" borderId="27" xfId="0" applyFont="1" applyFill="1" applyBorder="1" applyAlignment="1">
      <alignment vertical="center" wrapText="1"/>
    </xf>
    <xf numFmtId="0" fontId="99" fillId="32" borderId="29" xfId="0" applyFont="1" applyFill="1" applyBorder="1" applyAlignment="1">
      <alignment vertical="center" wrapText="1"/>
    </xf>
    <xf numFmtId="0" fontId="99" fillId="32" borderId="30" xfId="0" applyFont="1" applyFill="1" applyBorder="1" applyAlignment="1">
      <alignment vertical="center" wrapText="1"/>
    </xf>
    <xf numFmtId="0" fontId="95" fillId="78" borderId="24" xfId="0" applyFont="1" applyFill="1" applyBorder="1" applyAlignment="1">
      <alignment horizontal="center" wrapText="1"/>
    </xf>
    <xf numFmtId="0" fontId="95" fillId="78" borderId="0" xfId="0" applyFont="1" applyFill="1" applyBorder="1" applyAlignment="1">
      <alignment horizontal="center" wrapText="1"/>
    </xf>
    <xf numFmtId="0" fontId="95" fillId="78" borderId="33" xfId="0" applyFont="1" applyFill="1" applyBorder="1" applyAlignment="1">
      <alignment horizontal="center" wrapText="1"/>
    </xf>
    <xf numFmtId="0" fontId="95" fillId="78" borderId="36" xfId="0" applyFont="1" applyFill="1" applyBorder="1" applyAlignment="1">
      <alignment horizontal="center" wrapText="1"/>
    </xf>
    <xf numFmtId="0" fontId="95" fillId="78" borderId="34" xfId="0" applyFont="1" applyFill="1" applyBorder="1" applyAlignment="1">
      <alignment horizontal="center" wrapText="1"/>
    </xf>
    <xf numFmtId="0" fontId="95" fillId="78" borderId="37" xfId="0" applyFont="1" applyFill="1" applyBorder="1" applyAlignment="1">
      <alignment horizontal="center" wrapText="1"/>
    </xf>
    <xf numFmtId="0" fontId="95" fillId="70" borderId="34" xfId="0" applyFont="1" applyFill="1" applyBorder="1" applyAlignment="1">
      <alignment horizontal="center" wrapText="1"/>
    </xf>
    <xf numFmtId="0" fontId="95" fillId="70" borderId="37" xfId="0" applyFont="1" applyFill="1" applyBorder="1" applyAlignment="1">
      <alignment horizontal="center" wrapText="1"/>
    </xf>
    <xf numFmtId="0" fontId="95" fillId="0" borderId="32" xfId="0" applyFont="1" applyBorder="1" applyAlignment="1">
      <alignment horizontal="center" wrapText="1"/>
    </xf>
    <xf numFmtId="0" fontId="95" fillId="0" borderId="35" xfId="0" applyFont="1" applyBorder="1" applyAlignment="1">
      <alignment horizontal="center" wrapText="1"/>
    </xf>
    <xf numFmtId="0" fontId="95" fillId="0" borderId="24" xfId="0" applyFont="1" applyBorder="1" applyAlignment="1">
      <alignment horizontal="center" wrapText="1"/>
    </xf>
    <xf numFmtId="0" fontId="95" fillId="0" borderId="0" xfId="0" applyFont="1" applyBorder="1" applyAlignment="1">
      <alignment horizontal="center" wrapText="1"/>
    </xf>
    <xf numFmtId="0" fontId="95" fillId="0" borderId="33" xfId="0" applyFont="1" applyBorder="1" applyAlignment="1">
      <alignment horizontal="center" wrapText="1"/>
    </xf>
    <xf numFmtId="0" fontId="95" fillId="0" borderId="36" xfId="0" applyFont="1" applyBorder="1" applyAlignment="1">
      <alignment horizontal="center" wrapText="1"/>
    </xf>
    <xf numFmtId="0" fontId="91" fillId="82" borderId="0" xfId="0" applyNumberFormat="1" applyFont="1" applyFill="1" applyBorder="1" applyAlignment="1" applyProtection="1">
      <alignment horizontal="center"/>
    </xf>
    <xf numFmtId="0" fontId="91" fillId="32" borderId="0" xfId="0" applyFont="1" applyFill="1" applyAlignment="1">
      <alignment horizontal="center"/>
    </xf>
  </cellXfs>
  <cellStyles count="8191">
    <cellStyle name="_x000a_shell=progma 2" xfId="3297" xr:uid="{00000000-0005-0000-0000-000000000000}"/>
    <cellStyle name="_x000a_shell=progma 2 2" xfId="3933" xr:uid="{00000000-0005-0000-0000-000001000000}"/>
    <cellStyle name="1.000" xfId="3298" xr:uid="{00000000-0005-0000-0000-000002000000}"/>
    <cellStyle name="1.000 2" xfId="3934" xr:uid="{00000000-0005-0000-0000-000003000000}"/>
    <cellStyle name="20 % - Markeringsfarve1" xfId="1966" xr:uid="{00000000-0005-0000-0000-000004000000}"/>
    <cellStyle name="20 % - Markeringsfarve1 2" xfId="1967" xr:uid="{00000000-0005-0000-0000-000005000000}"/>
    <cellStyle name="20 % - Markeringsfarve1 2 2" xfId="5020" xr:uid="{00000000-0005-0000-0000-000006000000}"/>
    <cellStyle name="20 % - Markeringsfarve1 2 2 2" xfId="5021" xr:uid="{00000000-0005-0000-0000-000007000000}"/>
    <cellStyle name="20 % - Markeringsfarve1 2 3" xfId="5022" xr:uid="{00000000-0005-0000-0000-000008000000}"/>
    <cellStyle name="20 % - Markeringsfarve1 2 3 2" xfId="5023" xr:uid="{00000000-0005-0000-0000-000009000000}"/>
    <cellStyle name="20 % - Markeringsfarve1 2 4" xfId="5024" xr:uid="{00000000-0005-0000-0000-00000A000000}"/>
    <cellStyle name="20 % - Markeringsfarve1 3" xfId="5025" xr:uid="{00000000-0005-0000-0000-00000B000000}"/>
    <cellStyle name="20 % - Markeringsfarve1 3 2" xfId="5026" xr:uid="{00000000-0005-0000-0000-00000C000000}"/>
    <cellStyle name="20 % - Markeringsfarve1 3 2 2" xfId="5027" xr:uid="{00000000-0005-0000-0000-00000D000000}"/>
    <cellStyle name="20 % - Markeringsfarve1 3 3" xfId="5028" xr:uid="{00000000-0005-0000-0000-00000E000000}"/>
    <cellStyle name="20 % - Markeringsfarve1 4" xfId="5029" xr:uid="{00000000-0005-0000-0000-00000F000000}"/>
    <cellStyle name="20 % - Markeringsfarve1 4 2" xfId="5030" xr:uid="{00000000-0005-0000-0000-000010000000}"/>
    <cellStyle name="20 % - Markeringsfarve1 5" xfId="5031" xr:uid="{00000000-0005-0000-0000-000011000000}"/>
    <cellStyle name="20 % - Markeringsfarve1 5 2" xfId="5032" xr:uid="{00000000-0005-0000-0000-000012000000}"/>
    <cellStyle name="20 % - Markeringsfarve1 6" xfId="5033" xr:uid="{00000000-0005-0000-0000-000013000000}"/>
    <cellStyle name="20 % - Markeringsfarve1 6 2" xfId="5034" xr:uid="{00000000-0005-0000-0000-000014000000}"/>
    <cellStyle name="20 % - Markeringsfarve1 7" xfId="5035" xr:uid="{00000000-0005-0000-0000-000015000000}"/>
    <cellStyle name="20 % - Markeringsfarve2" xfId="1968" xr:uid="{00000000-0005-0000-0000-000016000000}"/>
    <cellStyle name="20 % - Markeringsfarve2 2" xfId="1969" xr:uid="{00000000-0005-0000-0000-000017000000}"/>
    <cellStyle name="20 % - Markeringsfarve2 2 2" xfId="5036" xr:uid="{00000000-0005-0000-0000-000018000000}"/>
    <cellStyle name="20 % - Markeringsfarve2 2 2 2" xfId="5037" xr:uid="{00000000-0005-0000-0000-000019000000}"/>
    <cellStyle name="20 % - Markeringsfarve2 2 3" xfId="5038" xr:uid="{00000000-0005-0000-0000-00001A000000}"/>
    <cellStyle name="20 % - Markeringsfarve2 2 3 2" xfId="5039" xr:uid="{00000000-0005-0000-0000-00001B000000}"/>
    <cellStyle name="20 % - Markeringsfarve2 2 4" xfId="5040" xr:uid="{00000000-0005-0000-0000-00001C000000}"/>
    <cellStyle name="20 % - Markeringsfarve2 3" xfId="5041" xr:uid="{00000000-0005-0000-0000-00001D000000}"/>
    <cellStyle name="20 % - Markeringsfarve2 3 2" xfId="5042" xr:uid="{00000000-0005-0000-0000-00001E000000}"/>
    <cellStyle name="20 % - Markeringsfarve2 4" xfId="5043" xr:uid="{00000000-0005-0000-0000-00001F000000}"/>
    <cellStyle name="20 % - Markeringsfarve2 4 2" xfId="5044" xr:uid="{00000000-0005-0000-0000-000020000000}"/>
    <cellStyle name="20 % - Markeringsfarve2 5" xfId="5045" xr:uid="{00000000-0005-0000-0000-000021000000}"/>
    <cellStyle name="20 % - Markeringsfarve2 5 2" xfId="5046" xr:uid="{00000000-0005-0000-0000-000022000000}"/>
    <cellStyle name="20 % - Markeringsfarve2 6" xfId="5047" xr:uid="{00000000-0005-0000-0000-000023000000}"/>
    <cellStyle name="20 % - Markeringsfarve2 6 2" xfId="5048" xr:uid="{00000000-0005-0000-0000-000024000000}"/>
    <cellStyle name="20 % - Markeringsfarve2 7" xfId="5049" xr:uid="{00000000-0005-0000-0000-000025000000}"/>
    <cellStyle name="20 % - Markeringsfarve3" xfId="1970" xr:uid="{00000000-0005-0000-0000-000026000000}"/>
    <cellStyle name="20 % - Markeringsfarve3 2" xfId="1971" xr:uid="{00000000-0005-0000-0000-000027000000}"/>
    <cellStyle name="20 % - Markeringsfarve3 2 2" xfId="5050" xr:uid="{00000000-0005-0000-0000-000028000000}"/>
    <cellStyle name="20 % - Markeringsfarve3 2 2 2" xfId="5051" xr:uid="{00000000-0005-0000-0000-000029000000}"/>
    <cellStyle name="20 % - Markeringsfarve3 2 3" xfId="5052" xr:uid="{00000000-0005-0000-0000-00002A000000}"/>
    <cellStyle name="20 % - Markeringsfarve3 2 3 2" xfId="5053" xr:uid="{00000000-0005-0000-0000-00002B000000}"/>
    <cellStyle name="20 % - Markeringsfarve3 2 4" xfId="5054" xr:uid="{00000000-0005-0000-0000-00002C000000}"/>
    <cellStyle name="20 % - Markeringsfarve3 2 4 2" xfId="5055" xr:uid="{00000000-0005-0000-0000-00002D000000}"/>
    <cellStyle name="20 % - Markeringsfarve3 2 5" xfId="5056" xr:uid="{00000000-0005-0000-0000-00002E000000}"/>
    <cellStyle name="20 % - Markeringsfarve3 3" xfId="5057" xr:uid="{00000000-0005-0000-0000-00002F000000}"/>
    <cellStyle name="20 % - Markeringsfarve3 3 2" xfId="5058" xr:uid="{00000000-0005-0000-0000-000030000000}"/>
    <cellStyle name="20 % - Markeringsfarve3 4" xfId="5059" xr:uid="{00000000-0005-0000-0000-000031000000}"/>
    <cellStyle name="20 % - Markeringsfarve3 4 2" xfId="5060" xr:uid="{00000000-0005-0000-0000-000032000000}"/>
    <cellStyle name="20 % - Markeringsfarve3 5" xfId="5061" xr:uid="{00000000-0005-0000-0000-000033000000}"/>
    <cellStyle name="20 % - Markeringsfarve3 5 2" xfId="5062" xr:uid="{00000000-0005-0000-0000-000034000000}"/>
    <cellStyle name="20 % - Markeringsfarve3 6" xfId="5063" xr:uid="{00000000-0005-0000-0000-000035000000}"/>
    <cellStyle name="20 % - Markeringsfarve3 6 2" xfId="5064" xr:uid="{00000000-0005-0000-0000-000036000000}"/>
    <cellStyle name="20 % - Markeringsfarve3 7" xfId="5065" xr:uid="{00000000-0005-0000-0000-000037000000}"/>
    <cellStyle name="20 % - Markeringsfarve4" xfId="1972" xr:uid="{00000000-0005-0000-0000-000038000000}"/>
    <cellStyle name="20 % - Markeringsfarve4 2" xfId="1973" xr:uid="{00000000-0005-0000-0000-000039000000}"/>
    <cellStyle name="20 % - Markeringsfarve4 2 2" xfId="5066" xr:uid="{00000000-0005-0000-0000-00003A000000}"/>
    <cellStyle name="20 % - Markeringsfarve4 2 2 2" xfId="5067" xr:uid="{00000000-0005-0000-0000-00003B000000}"/>
    <cellStyle name="20 % - Markeringsfarve4 2 3" xfId="5068" xr:uid="{00000000-0005-0000-0000-00003C000000}"/>
    <cellStyle name="20 % - Markeringsfarve4 2 3 2" xfId="5069" xr:uid="{00000000-0005-0000-0000-00003D000000}"/>
    <cellStyle name="20 % - Markeringsfarve4 2 4" xfId="5070" xr:uid="{00000000-0005-0000-0000-00003E000000}"/>
    <cellStyle name="20 % - Markeringsfarve4 3" xfId="5071" xr:uid="{00000000-0005-0000-0000-00003F000000}"/>
    <cellStyle name="20 % - Markeringsfarve4 3 2" xfId="5072" xr:uid="{00000000-0005-0000-0000-000040000000}"/>
    <cellStyle name="20 % - Markeringsfarve4 4" xfId="5073" xr:uid="{00000000-0005-0000-0000-000041000000}"/>
    <cellStyle name="20 % - Markeringsfarve4 4 2" xfId="5074" xr:uid="{00000000-0005-0000-0000-000042000000}"/>
    <cellStyle name="20 % - Markeringsfarve4 5" xfId="5075" xr:uid="{00000000-0005-0000-0000-000043000000}"/>
    <cellStyle name="20 % - Markeringsfarve4 5 2" xfId="5076" xr:uid="{00000000-0005-0000-0000-000044000000}"/>
    <cellStyle name="20 % - Markeringsfarve4 6" xfId="5077" xr:uid="{00000000-0005-0000-0000-000045000000}"/>
    <cellStyle name="20 % - Markeringsfarve4 6 2" xfId="5078" xr:uid="{00000000-0005-0000-0000-000046000000}"/>
    <cellStyle name="20 % - Markeringsfarve4 7" xfId="5079" xr:uid="{00000000-0005-0000-0000-000047000000}"/>
    <cellStyle name="20 % - Markeringsfarve5" xfId="1974" xr:uid="{00000000-0005-0000-0000-000048000000}"/>
    <cellStyle name="20 % - Markeringsfarve5 2" xfId="1975" xr:uid="{00000000-0005-0000-0000-000049000000}"/>
    <cellStyle name="20 % - Markeringsfarve5 2 2" xfId="5080" xr:uid="{00000000-0005-0000-0000-00004A000000}"/>
    <cellStyle name="20 % - Markeringsfarve5 2 2 2" xfId="5081" xr:uid="{00000000-0005-0000-0000-00004B000000}"/>
    <cellStyle name="20 % - Markeringsfarve5 2 3" xfId="5082" xr:uid="{00000000-0005-0000-0000-00004C000000}"/>
    <cellStyle name="20 % - Markeringsfarve5 2 3 2" xfId="5083" xr:uid="{00000000-0005-0000-0000-00004D000000}"/>
    <cellStyle name="20 % - Markeringsfarve5 2 4" xfId="5084" xr:uid="{00000000-0005-0000-0000-00004E000000}"/>
    <cellStyle name="20 % - Markeringsfarve5 3" xfId="5085" xr:uid="{00000000-0005-0000-0000-00004F000000}"/>
    <cellStyle name="20 % - Markeringsfarve5 3 2" xfId="5086" xr:uid="{00000000-0005-0000-0000-000050000000}"/>
    <cellStyle name="20 % - Markeringsfarve5 4" xfId="5087" xr:uid="{00000000-0005-0000-0000-000051000000}"/>
    <cellStyle name="20 % - Markeringsfarve5 4 2" xfId="5088" xr:uid="{00000000-0005-0000-0000-000052000000}"/>
    <cellStyle name="20 % - Markeringsfarve5 5" xfId="5089" xr:uid="{00000000-0005-0000-0000-000053000000}"/>
    <cellStyle name="20 % - Markeringsfarve5 5 2" xfId="5090" xr:uid="{00000000-0005-0000-0000-000054000000}"/>
    <cellStyle name="20 % - Markeringsfarve5 6" xfId="5091" xr:uid="{00000000-0005-0000-0000-000055000000}"/>
    <cellStyle name="20 % - Markeringsfarve5 6 2" xfId="5092" xr:uid="{00000000-0005-0000-0000-000056000000}"/>
    <cellStyle name="20 % - Markeringsfarve5 7" xfId="5093" xr:uid="{00000000-0005-0000-0000-000057000000}"/>
    <cellStyle name="20 % - Markeringsfarve6" xfId="1976" xr:uid="{00000000-0005-0000-0000-000058000000}"/>
    <cellStyle name="20 % - Markeringsfarve6 2" xfId="1977" xr:uid="{00000000-0005-0000-0000-000059000000}"/>
    <cellStyle name="20 % - Markeringsfarve6 2 2" xfId="5094" xr:uid="{00000000-0005-0000-0000-00005A000000}"/>
    <cellStyle name="20 % - Markeringsfarve6 2 2 2" xfId="5095" xr:uid="{00000000-0005-0000-0000-00005B000000}"/>
    <cellStyle name="20 % - Markeringsfarve6 2 3" xfId="5096" xr:uid="{00000000-0005-0000-0000-00005C000000}"/>
    <cellStyle name="20 % - Markeringsfarve6 2 3 2" xfId="5097" xr:uid="{00000000-0005-0000-0000-00005D000000}"/>
    <cellStyle name="20 % - Markeringsfarve6 2 4" xfId="5098" xr:uid="{00000000-0005-0000-0000-00005E000000}"/>
    <cellStyle name="20 % - Markeringsfarve6 3" xfId="5099" xr:uid="{00000000-0005-0000-0000-00005F000000}"/>
    <cellStyle name="20 % - Markeringsfarve6 3 2" xfId="5100" xr:uid="{00000000-0005-0000-0000-000060000000}"/>
    <cellStyle name="20 % - Markeringsfarve6 4" xfId="5101" xr:uid="{00000000-0005-0000-0000-000061000000}"/>
    <cellStyle name="20 % - Markeringsfarve6 4 2" xfId="5102" xr:uid="{00000000-0005-0000-0000-000062000000}"/>
    <cellStyle name="20 % - Markeringsfarve6 5" xfId="5103" xr:uid="{00000000-0005-0000-0000-000063000000}"/>
    <cellStyle name="20 % - Markeringsfarve6 5 2" xfId="5104" xr:uid="{00000000-0005-0000-0000-000064000000}"/>
    <cellStyle name="20 % - Markeringsfarve6 6" xfId="5105" xr:uid="{00000000-0005-0000-0000-000065000000}"/>
    <cellStyle name="20 % - Markeringsfarve6 6 2" xfId="5106" xr:uid="{00000000-0005-0000-0000-000066000000}"/>
    <cellStyle name="20 % - Markeringsfarve6 7" xfId="5107" xr:uid="{00000000-0005-0000-0000-000067000000}"/>
    <cellStyle name="20% - Accent1 2" xfId="5108" xr:uid="{00000000-0005-0000-0000-000068000000}"/>
    <cellStyle name="20% - Accent2 2" xfId="5109" xr:uid="{00000000-0005-0000-0000-000069000000}"/>
    <cellStyle name="20% - Accent3 2" xfId="5110" xr:uid="{00000000-0005-0000-0000-00006A000000}"/>
    <cellStyle name="20% - Accent4 2" xfId="5111" xr:uid="{00000000-0005-0000-0000-00006B000000}"/>
    <cellStyle name="20% - Accent5 2" xfId="5112" xr:uid="{00000000-0005-0000-0000-00006C000000}"/>
    <cellStyle name="20% - Accent6 2" xfId="5113" xr:uid="{00000000-0005-0000-0000-00006D000000}"/>
    <cellStyle name="20% - Colore 1" xfId="1" xr:uid="{00000000-0005-0000-0000-00006E000000}"/>
    <cellStyle name="20% - Colore 1 2" xfId="1978" xr:uid="{00000000-0005-0000-0000-00006F000000}"/>
    <cellStyle name="20% - Colore 2" xfId="2" xr:uid="{00000000-0005-0000-0000-000070000000}"/>
    <cellStyle name="20% - Colore 2 2" xfId="1979" xr:uid="{00000000-0005-0000-0000-000071000000}"/>
    <cellStyle name="20% - Colore 3" xfId="3" xr:uid="{00000000-0005-0000-0000-000072000000}"/>
    <cellStyle name="20% - Colore 3 2" xfId="1980" xr:uid="{00000000-0005-0000-0000-000073000000}"/>
    <cellStyle name="20% - Colore 4" xfId="4" xr:uid="{00000000-0005-0000-0000-000074000000}"/>
    <cellStyle name="20% - Colore 4 2" xfId="1981" xr:uid="{00000000-0005-0000-0000-000075000000}"/>
    <cellStyle name="20% - Colore 5" xfId="5" xr:uid="{00000000-0005-0000-0000-000076000000}"/>
    <cellStyle name="20% - Colore 5 2" xfId="1982" xr:uid="{00000000-0005-0000-0000-000077000000}"/>
    <cellStyle name="20% - Colore 6" xfId="6" xr:uid="{00000000-0005-0000-0000-000078000000}"/>
    <cellStyle name="20% - Colore 6 2" xfId="1983" xr:uid="{00000000-0005-0000-0000-000079000000}"/>
    <cellStyle name="40 % - Markeringsfarve1" xfId="1984" xr:uid="{00000000-0005-0000-0000-00007A000000}"/>
    <cellStyle name="40 % - Markeringsfarve1 2" xfId="1985" xr:uid="{00000000-0005-0000-0000-00007B000000}"/>
    <cellStyle name="40 % - Markeringsfarve1 2 2" xfId="5114" xr:uid="{00000000-0005-0000-0000-00007C000000}"/>
    <cellStyle name="40 % - Markeringsfarve1 2 2 2" xfId="5115" xr:uid="{00000000-0005-0000-0000-00007D000000}"/>
    <cellStyle name="40 % - Markeringsfarve1 2 3" xfId="5116" xr:uid="{00000000-0005-0000-0000-00007E000000}"/>
    <cellStyle name="40 % - Markeringsfarve1 2 3 2" xfId="5117" xr:uid="{00000000-0005-0000-0000-00007F000000}"/>
    <cellStyle name="40 % - Markeringsfarve1 2 4" xfId="5118" xr:uid="{00000000-0005-0000-0000-000080000000}"/>
    <cellStyle name="40 % - Markeringsfarve1 3" xfId="5119" xr:uid="{00000000-0005-0000-0000-000081000000}"/>
    <cellStyle name="40 % - Markeringsfarve1 3 2" xfId="5120" xr:uid="{00000000-0005-0000-0000-000082000000}"/>
    <cellStyle name="40 % - Markeringsfarve1 4" xfId="5121" xr:uid="{00000000-0005-0000-0000-000083000000}"/>
    <cellStyle name="40 % - Markeringsfarve1 4 2" xfId="5122" xr:uid="{00000000-0005-0000-0000-000084000000}"/>
    <cellStyle name="40 % - Markeringsfarve1 5" xfId="5123" xr:uid="{00000000-0005-0000-0000-000085000000}"/>
    <cellStyle name="40 % - Markeringsfarve1 5 2" xfId="5124" xr:uid="{00000000-0005-0000-0000-000086000000}"/>
    <cellStyle name="40 % - Markeringsfarve1 6" xfId="5125" xr:uid="{00000000-0005-0000-0000-000087000000}"/>
    <cellStyle name="40 % - Markeringsfarve1 6 2" xfId="5126" xr:uid="{00000000-0005-0000-0000-000088000000}"/>
    <cellStyle name="40 % - Markeringsfarve1 7" xfId="5127" xr:uid="{00000000-0005-0000-0000-000089000000}"/>
    <cellStyle name="40 % - Markeringsfarve2" xfId="1986" xr:uid="{00000000-0005-0000-0000-00008A000000}"/>
    <cellStyle name="40 % - Markeringsfarve2 2" xfId="1987" xr:uid="{00000000-0005-0000-0000-00008B000000}"/>
    <cellStyle name="40 % - Markeringsfarve2 2 2" xfId="5128" xr:uid="{00000000-0005-0000-0000-00008C000000}"/>
    <cellStyle name="40 % - Markeringsfarve2 2 2 2" xfId="5129" xr:uid="{00000000-0005-0000-0000-00008D000000}"/>
    <cellStyle name="40 % - Markeringsfarve2 2 3" xfId="5130" xr:uid="{00000000-0005-0000-0000-00008E000000}"/>
    <cellStyle name="40 % - Markeringsfarve2 2 3 2" xfId="5131" xr:uid="{00000000-0005-0000-0000-00008F000000}"/>
    <cellStyle name="40 % - Markeringsfarve2 2 4" xfId="5132" xr:uid="{00000000-0005-0000-0000-000090000000}"/>
    <cellStyle name="40 % - Markeringsfarve2 3" xfId="5133" xr:uid="{00000000-0005-0000-0000-000091000000}"/>
    <cellStyle name="40 % - Markeringsfarve2 3 2" xfId="5134" xr:uid="{00000000-0005-0000-0000-000092000000}"/>
    <cellStyle name="40 % - Markeringsfarve2 4" xfId="5135" xr:uid="{00000000-0005-0000-0000-000093000000}"/>
    <cellStyle name="40 % - Markeringsfarve2 4 2" xfId="5136" xr:uid="{00000000-0005-0000-0000-000094000000}"/>
    <cellStyle name="40 % - Markeringsfarve2 5" xfId="5137" xr:uid="{00000000-0005-0000-0000-000095000000}"/>
    <cellStyle name="40 % - Markeringsfarve2 5 2" xfId="5138" xr:uid="{00000000-0005-0000-0000-000096000000}"/>
    <cellStyle name="40 % - Markeringsfarve2 6" xfId="5139" xr:uid="{00000000-0005-0000-0000-000097000000}"/>
    <cellStyle name="40 % - Markeringsfarve2 6 2" xfId="5140" xr:uid="{00000000-0005-0000-0000-000098000000}"/>
    <cellStyle name="40 % - Markeringsfarve2 7" xfId="5141" xr:uid="{00000000-0005-0000-0000-000099000000}"/>
    <cellStyle name="40 % - Markeringsfarve3" xfId="1988" xr:uid="{00000000-0005-0000-0000-00009A000000}"/>
    <cellStyle name="40 % - Markeringsfarve3 2" xfId="1989" xr:uid="{00000000-0005-0000-0000-00009B000000}"/>
    <cellStyle name="40 % - Markeringsfarve3 2 2" xfId="5142" xr:uid="{00000000-0005-0000-0000-00009C000000}"/>
    <cellStyle name="40 % - Markeringsfarve3 2 2 2" xfId="5143" xr:uid="{00000000-0005-0000-0000-00009D000000}"/>
    <cellStyle name="40 % - Markeringsfarve3 2 3" xfId="5144" xr:uid="{00000000-0005-0000-0000-00009E000000}"/>
    <cellStyle name="40 % - Markeringsfarve3 2 3 2" xfId="5145" xr:uid="{00000000-0005-0000-0000-00009F000000}"/>
    <cellStyle name="40 % - Markeringsfarve3 2 4" xfId="5146" xr:uid="{00000000-0005-0000-0000-0000A0000000}"/>
    <cellStyle name="40 % - Markeringsfarve3 3" xfId="5147" xr:uid="{00000000-0005-0000-0000-0000A1000000}"/>
    <cellStyle name="40 % - Markeringsfarve3 3 2" xfId="5148" xr:uid="{00000000-0005-0000-0000-0000A2000000}"/>
    <cellStyle name="40 % - Markeringsfarve3 4" xfId="5149" xr:uid="{00000000-0005-0000-0000-0000A3000000}"/>
    <cellStyle name="40 % - Markeringsfarve3 4 2" xfId="5150" xr:uid="{00000000-0005-0000-0000-0000A4000000}"/>
    <cellStyle name="40 % - Markeringsfarve3 5" xfId="5151" xr:uid="{00000000-0005-0000-0000-0000A5000000}"/>
    <cellStyle name="40 % - Markeringsfarve3 5 2" xfId="5152" xr:uid="{00000000-0005-0000-0000-0000A6000000}"/>
    <cellStyle name="40 % - Markeringsfarve3 6" xfId="5153" xr:uid="{00000000-0005-0000-0000-0000A7000000}"/>
    <cellStyle name="40 % - Markeringsfarve3 6 2" xfId="5154" xr:uid="{00000000-0005-0000-0000-0000A8000000}"/>
    <cellStyle name="40 % - Markeringsfarve3 7" xfId="5155" xr:uid="{00000000-0005-0000-0000-0000A9000000}"/>
    <cellStyle name="40 % - Markeringsfarve4" xfId="1990" xr:uid="{00000000-0005-0000-0000-0000AA000000}"/>
    <cellStyle name="40 % - Markeringsfarve4 2" xfId="1991" xr:uid="{00000000-0005-0000-0000-0000AB000000}"/>
    <cellStyle name="40 % - Markeringsfarve4 2 2" xfId="5156" xr:uid="{00000000-0005-0000-0000-0000AC000000}"/>
    <cellStyle name="40 % - Markeringsfarve4 2 2 2" xfId="5157" xr:uid="{00000000-0005-0000-0000-0000AD000000}"/>
    <cellStyle name="40 % - Markeringsfarve4 2 3" xfId="5158" xr:uid="{00000000-0005-0000-0000-0000AE000000}"/>
    <cellStyle name="40 % - Markeringsfarve4 2 3 2" xfId="5159" xr:uid="{00000000-0005-0000-0000-0000AF000000}"/>
    <cellStyle name="40 % - Markeringsfarve4 2 4" xfId="5160" xr:uid="{00000000-0005-0000-0000-0000B0000000}"/>
    <cellStyle name="40 % - Markeringsfarve4 3" xfId="5161" xr:uid="{00000000-0005-0000-0000-0000B1000000}"/>
    <cellStyle name="40 % - Markeringsfarve4 3 2" xfId="5162" xr:uid="{00000000-0005-0000-0000-0000B2000000}"/>
    <cellStyle name="40 % - Markeringsfarve4 4" xfId="5163" xr:uid="{00000000-0005-0000-0000-0000B3000000}"/>
    <cellStyle name="40 % - Markeringsfarve4 4 2" xfId="5164" xr:uid="{00000000-0005-0000-0000-0000B4000000}"/>
    <cellStyle name="40 % - Markeringsfarve4 5" xfId="5165" xr:uid="{00000000-0005-0000-0000-0000B5000000}"/>
    <cellStyle name="40 % - Markeringsfarve4 5 2" xfId="5166" xr:uid="{00000000-0005-0000-0000-0000B6000000}"/>
    <cellStyle name="40 % - Markeringsfarve4 6" xfId="5167" xr:uid="{00000000-0005-0000-0000-0000B7000000}"/>
    <cellStyle name="40 % - Markeringsfarve4 6 2" xfId="5168" xr:uid="{00000000-0005-0000-0000-0000B8000000}"/>
    <cellStyle name="40 % - Markeringsfarve4 7" xfId="5169" xr:uid="{00000000-0005-0000-0000-0000B9000000}"/>
    <cellStyle name="40 % - Markeringsfarve5" xfId="1992" xr:uid="{00000000-0005-0000-0000-0000BA000000}"/>
    <cellStyle name="40 % - Markeringsfarve5 2" xfId="1993" xr:uid="{00000000-0005-0000-0000-0000BB000000}"/>
    <cellStyle name="40 % - Markeringsfarve5 2 2" xfId="5170" xr:uid="{00000000-0005-0000-0000-0000BC000000}"/>
    <cellStyle name="40 % - Markeringsfarve5 2 2 2" xfId="5171" xr:uid="{00000000-0005-0000-0000-0000BD000000}"/>
    <cellStyle name="40 % - Markeringsfarve5 2 3" xfId="5172" xr:uid="{00000000-0005-0000-0000-0000BE000000}"/>
    <cellStyle name="40 % - Markeringsfarve5 2 3 2" xfId="5173" xr:uid="{00000000-0005-0000-0000-0000BF000000}"/>
    <cellStyle name="40 % - Markeringsfarve5 2 4" xfId="5174" xr:uid="{00000000-0005-0000-0000-0000C0000000}"/>
    <cellStyle name="40 % - Markeringsfarve5 3" xfId="5175" xr:uid="{00000000-0005-0000-0000-0000C1000000}"/>
    <cellStyle name="40 % - Markeringsfarve5 3 2" xfId="5176" xr:uid="{00000000-0005-0000-0000-0000C2000000}"/>
    <cellStyle name="40 % - Markeringsfarve5 4" xfId="5177" xr:uid="{00000000-0005-0000-0000-0000C3000000}"/>
    <cellStyle name="40 % - Markeringsfarve5 4 2" xfId="5178" xr:uid="{00000000-0005-0000-0000-0000C4000000}"/>
    <cellStyle name="40 % - Markeringsfarve5 5" xfId="5179" xr:uid="{00000000-0005-0000-0000-0000C5000000}"/>
    <cellStyle name="40 % - Markeringsfarve5 5 2" xfId="5180" xr:uid="{00000000-0005-0000-0000-0000C6000000}"/>
    <cellStyle name="40 % - Markeringsfarve5 6" xfId="5181" xr:uid="{00000000-0005-0000-0000-0000C7000000}"/>
    <cellStyle name="40 % - Markeringsfarve5 6 2" xfId="5182" xr:uid="{00000000-0005-0000-0000-0000C8000000}"/>
    <cellStyle name="40 % - Markeringsfarve5 7" xfId="5183" xr:uid="{00000000-0005-0000-0000-0000C9000000}"/>
    <cellStyle name="40 % - Markeringsfarve6" xfId="1994" xr:uid="{00000000-0005-0000-0000-0000CA000000}"/>
    <cellStyle name="40 % - Markeringsfarve6 2" xfId="1995" xr:uid="{00000000-0005-0000-0000-0000CB000000}"/>
    <cellStyle name="40 % - Markeringsfarve6 2 2" xfId="5184" xr:uid="{00000000-0005-0000-0000-0000CC000000}"/>
    <cellStyle name="40 % - Markeringsfarve6 2 2 2" xfId="5185" xr:uid="{00000000-0005-0000-0000-0000CD000000}"/>
    <cellStyle name="40 % - Markeringsfarve6 2 3" xfId="5186" xr:uid="{00000000-0005-0000-0000-0000CE000000}"/>
    <cellStyle name="40 % - Markeringsfarve6 2 3 2" xfId="5187" xr:uid="{00000000-0005-0000-0000-0000CF000000}"/>
    <cellStyle name="40 % - Markeringsfarve6 2 4" xfId="5188" xr:uid="{00000000-0005-0000-0000-0000D0000000}"/>
    <cellStyle name="40 % - Markeringsfarve6 3" xfId="5189" xr:uid="{00000000-0005-0000-0000-0000D1000000}"/>
    <cellStyle name="40 % - Markeringsfarve6 3 2" xfId="5190" xr:uid="{00000000-0005-0000-0000-0000D2000000}"/>
    <cellStyle name="40 % - Markeringsfarve6 4" xfId="5191" xr:uid="{00000000-0005-0000-0000-0000D3000000}"/>
    <cellStyle name="40 % - Markeringsfarve6 4 2" xfId="5192" xr:uid="{00000000-0005-0000-0000-0000D4000000}"/>
    <cellStyle name="40 % - Markeringsfarve6 5" xfId="5193" xr:uid="{00000000-0005-0000-0000-0000D5000000}"/>
    <cellStyle name="40 % - Markeringsfarve6 5 2" xfId="5194" xr:uid="{00000000-0005-0000-0000-0000D6000000}"/>
    <cellStyle name="40 % - Markeringsfarve6 6" xfId="5195" xr:uid="{00000000-0005-0000-0000-0000D7000000}"/>
    <cellStyle name="40 % - Markeringsfarve6 6 2" xfId="5196" xr:uid="{00000000-0005-0000-0000-0000D8000000}"/>
    <cellStyle name="40 % - Markeringsfarve6 7" xfId="5197" xr:uid="{00000000-0005-0000-0000-0000D9000000}"/>
    <cellStyle name="40% - Accent1 2" xfId="5198" xr:uid="{00000000-0005-0000-0000-0000DA000000}"/>
    <cellStyle name="40% - Accent2 2" xfId="5199" xr:uid="{00000000-0005-0000-0000-0000DB000000}"/>
    <cellStyle name="40% - Accent3 2" xfId="5200" xr:uid="{00000000-0005-0000-0000-0000DC000000}"/>
    <cellStyle name="40% - Accent4 2" xfId="5201" xr:uid="{00000000-0005-0000-0000-0000DD000000}"/>
    <cellStyle name="40% - Accent5 2" xfId="5202" xr:uid="{00000000-0005-0000-0000-0000DE000000}"/>
    <cellStyle name="40% - Accent6 2" xfId="5203" xr:uid="{00000000-0005-0000-0000-0000DF000000}"/>
    <cellStyle name="40% - Colore 1" xfId="7" xr:uid="{00000000-0005-0000-0000-0000E0000000}"/>
    <cellStyle name="40% - Colore 1 2" xfId="1996" xr:uid="{00000000-0005-0000-0000-0000E1000000}"/>
    <cellStyle name="40% - Colore 2" xfId="8" xr:uid="{00000000-0005-0000-0000-0000E2000000}"/>
    <cellStyle name="40% - Colore 2 2" xfId="1997" xr:uid="{00000000-0005-0000-0000-0000E3000000}"/>
    <cellStyle name="40% - Colore 3" xfId="9" xr:uid="{00000000-0005-0000-0000-0000E4000000}"/>
    <cellStyle name="40% - Colore 3 2" xfId="1998" xr:uid="{00000000-0005-0000-0000-0000E5000000}"/>
    <cellStyle name="40% - Colore 4" xfId="10" xr:uid="{00000000-0005-0000-0000-0000E6000000}"/>
    <cellStyle name="40% - Colore 4 2" xfId="1999" xr:uid="{00000000-0005-0000-0000-0000E7000000}"/>
    <cellStyle name="40% - Colore 5" xfId="11" xr:uid="{00000000-0005-0000-0000-0000E8000000}"/>
    <cellStyle name="40% - Colore 5 2" xfId="2000" xr:uid="{00000000-0005-0000-0000-0000E9000000}"/>
    <cellStyle name="40% - Colore 6" xfId="12" xr:uid="{00000000-0005-0000-0000-0000EA000000}"/>
    <cellStyle name="40% - Colore 6 2" xfId="2001" xr:uid="{00000000-0005-0000-0000-0000EB000000}"/>
    <cellStyle name="5x indented GHG Textfiels" xfId="13" xr:uid="{00000000-0005-0000-0000-0000EC000000}"/>
    <cellStyle name="5x indented GHG Textfiels 2" xfId="3935" xr:uid="{00000000-0005-0000-0000-0000ED000000}"/>
    <cellStyle name="60 % - Markeringsfarve1" xfId="2002" xr:uid="{00000000-0005-0000-0000-0000EE000000}"/>
    <cellStyle name="60 % - Markeringsfarve2" xfId="2003" xr:uid="{00000000-0005-0000-0000-0000EF000000}"/>
    <cellStyle name="60 % - Markeringsfarve3" xfId="2004" xr:uid="{00000000-0005-0000-0000-0000F0000000}"/>
    <cellStyle name="60 % - Markeringsfarve4" xfId="2005" xr:uid="{00000000-0005-0000-0000-0000F1000000}"/>
    <cellStyle name="60 % - Markeringsfarve5" xfId="2006" xr:uid="{00000000-0005-0000-0000-0000F2000000}"/>
    <cellStyle name="60 % - Markeringsfarve6" xfId="2007" xr:uid="{00000000-0005-0000-0000-0000F3000000}"/>
    <cellStyle name="60% - Accent1 2" xfId="5204" xr:uid="{00000000-0005-0000-0000-0000F4000000}"/>
    <cellStyle name="60% - Accent2 2" xfId="5205" xr:uid="{00000000-0005-0000-0000-0000F5000000}"/>
    <cellStyle name="60% - Accent3 2" xfId="5206" xr:uid="{00000000-0005-0000-0000-0000F6000000}"/>
    <cellStyle name="60% - Accent4 2" xfId="5207" xr:uid="{00000000-0005-0000-0000-0000F7000000}"/>
    <cellStyle name="60% - Accent5 2" xfId="5208" xr:uid="{00000000-0005-0000-0000-0000F8000000}"/>
    <cellStyle name="60% - Accent6 2" xfId="5209" xr:uid="{00000000-0005-0000-0000-0000F9000000}"/>
    <cellStyle name="60% - Colore 1" xfId="14" xr:uid="{00000000-0005-0000-0000-0000FA000000}"/>
    <cellStyle name="60% - Colore 2" xfId="15" xr:uid="{00000000-0005-0000-0000-0000FB000000}"/>
    <cellStyle name="60% - Colore 3" xfId="16" xr:uid="{00000000-0005-0000-0000-0000FC000000}"/>
    <cellStyle name="60% - Colore 4" xfId="17" xr:uid="{00000000-0005-0000-0000-0000FD000000}"/>
    <cellStyle name="60% - Colore 5" xfId="18" xr:uid="{00000000-0005-0000-0000-0000FE000000}"/>
    <cellStyle name="60% - Colore 6" xfId="19" xr:uid="{00000000-0005-0000-0000-0000FF000000}"/>
    <cellStyle name="Accent1 2" xfId="5210" xr:uid="{00000000-0005-0000-0000-000000010000}"/>
    <cellStyle name="Accent2 2" xfId="5211" xr:uid="{00000000-0005-0000-0000-000001010000}"/>
    <cellStyle name="Accent3 2" xfId="5212" xr:uid="{00000000-0005-0000-0000-000002010000}"/>
    <cellStyle name="Accent4 2" xfId="5213" xr:uid="{00000000-0005-0000-0000-000003010000}"/>
    <cellStyle name="Accent5 2" xfId="5214" xr:uid="{00000000-0005-0000-0000-000004010000}"/>
    <cellStyle name="Accent6 2" xfId="5215" xr:uid="{00000000-0005-0000-0000-000005010000}"/>
    <cellStyle name="AggOrange_CRFReport-template" xfId="20" xr:uid="{00000000-0005-0000-0000-000006010000}"/>
    <cellStyle name="AggOrange9_CRFReport-template" xfId="21" xr:uid="{00000000-0005-0000-0000-000007010000}"/>
    <cellStyle name="Bad 2" xfId="22" xr:uid="{00000000-0005-0000-0000-000008010000}"/>
    <cellStyle name="Bad 2 2" xfId="5216" xr:uid="{00000000-0005-0000-0000-000009010000}"/>
    <cellStyle name="Bad 3" xfId="23" xr:uid="{00000000-0005-0000-0000-00000A010000}"/>
    <cellStyle name="Bad 4" xfId="3109" xr:uid="{00000000-0005-0000-0000-00000B010000}"/>
    <cellStyle name="Bemærk! 2" xfId="5217" xr:uid="{00000000-0005-0000-0000-00000C010000}"/>
    <cellStyle name="Bemærk! 2 2" xfId="5218" xr:uid="{00000000-0005-0000-0000-00000D010000}"/>
    <cellStyle name="Bemærk! 2 2 2" xfId="5219" xr:uid="{00000000-0005-0000-0000-00000E010000}"/>
    <cellStyle name="Bemærk! 2 2 2 2" xfId="5220" xr:uid="{00000000-0005-0000-0000-00000F010000}"/>
    <cellStyle name="Bemærk! 2 2 3" xfId="5221" xr:uid="{00000000-0005-0000-0000-000010010000}"/>
    <cellStyle name="Bemærk! 2 2 3 2" xfId="5222" xr:uid="{00000000-0005-0000-0000-000011010000}"/>
    <cellStyle name="Bemærk! 2 2 4" xfId="5223" xr:uid="{00000000-0005-0000-0000-000012010000}"/>
    <cellStyle name="Bemærk! 2 3" xfId="5224" xr:uid="{00000000-0005-0000-0000-000013010000}"/>
    <cellStyle name="Bemærk! 2 3 2" xfId="5225" xr:uid="{00000000-0005-0000-0000-000014010000}"/>
    <cellStyle name="Bemærk! 2 4" xfId="5226" xr:uid="{00000000-0005-0000-0000-000015010000}"/>
    <cellStyle name="Bemærk! 2 4 2" xfId="5227" xr:uid="{00000000-0005-0000-0000-000016010000}"/>
    <cellStyle name="Bemærk! 2 5" xfId="5228" xr:uid="{00000000-0005-0000-0000-000017010000}"/>
    <cellStyle name="Bemærk! 2 5 2" xfId="5229" xr:uid="{00000000-0005-0000-0000-000018010000}"/>
    <cellStyle name="Bemærk! 2 6" xfId="5230" xr:uid="{00000000-0005-0000-0000-000019010000}"/>
    <cellStyle name="Bemærk! 2 7" xfId="5231" xr:uid="{00000000-0005-0000-0000-00001A010000}"/>
    <cellStyle name="Bemærk! 2 7 2" xfId="5232" xr:uid="{00000000-0005-0000-0000-00001B010000}"/>
    <cellStyle name="Bemærk! 2 8" xfId="5233" xr:uid="{00000000-0005-0000-0000-00001C010000}"/>
    <cellStyle name="Bemærk! 3" xfId="5234" xr:uid="{00000000-0005-0000-0000-00001D010000}"/>
    <cellStyle name="Bemærk! 4" xfId="5235" xr:uid="{00000000-0005-0000-0000-00001E010000}"/>
    <cellStyle name="Bemærk! 4 2" xfId="5236" xr:uid="{00000000-0005-0000-0000-00001F010000}"/>
    <cellStyle name="Bemærk! 4 2 2" xfId="5237" xr:uid="{00000000-0005-0000-0000-000020010000}"/>
    <cellStyle name="Bemærk! 5" xfId="5238" xr:uid="{00000000-0005-0000-0000-000021010000}"/>
    <cellStyle name="Bemærk! 6" xfId="5239" xr:uid="{00000000-0005-0000-0000-000022010000}"/>
    <cellStyle name="Bemærk! 6 2" xfId="5240" xr:uid="{00000000-0005-0000-0000-000023010000}"/>
    <cellStyle name="Bruger data" xfId="3299" xr:uid="{00000000-0005-0000-0000-000024010000}"/>
    <cellStyle name="C01_Main head" xfId="5241" xr:uid="{00000000-0005-0000-0000-000025010000}"/>
    <cellStyle name="C02_Column heads" xfId="5242" xr:uid="{00000000-0005-0000-0000-000026010000}"/>
    <cellStyle name="C03_Sub head bold" xfId="5243" xr:uid="{00000000-0005-0000-0000-000027010000}"/>
    <cellStyle name="C03a_Sub head" xfId="5244" xr:uid="{00000000-0005-0000-0000-000028010000}"/>
    <cellStyle name="C04_Total text white bold" xfId="5245" xr:uid="{00000000-0005-0000-0000-000029010000}"/>
    <cellStyle name="C04a_Total text black with rule" xfId="5246" xr:uid="{00000000-0005-0000-0000-00002A010000}"/>
    <cellStyle name="C05_Main text" xfId="5247" xr:uid="{00000000-0005-0000-0000-00002B010000}"/>
    <cellStyle name="C06_Figs" xfId="5248" xr:uid="{00000000-0005-0000-0000-00002C010000}"/>
    <cellStyle name="C07_Figs 1 dec percent" xfId="5249" xr:uid="{00000000-0005-0000-0000-00002D010000}"/>
    <cellStyle name="C08_Figs 1 decimal" xfId="5250" xr:uid="{00000000-0005-0000-0000-00002E010000}"/>
    <cellStyle name="C09_Notes" xfId="5251" xr:uid="{00000000-0005-0000-0000-00002F010000}"/>
    <cellStyle name="Calcolo" xfId="24" xr:uid="{00000000-0005-0000-0000-000030010000}"/>
    <cellStyle name="Calcolo 2" xfId="2008" xr:uid="{00000000-0005-0000-0000-000031010000}"/>
    <cellStyle name="Calcolo 2 2" xfId="2009" xr:uid="{00000000-0005-0000-0000-000032010000}"/>
    <cellStyle name="Calcolo 3" xfId="2010" xr:uid="{00000000-0005-0000-0000-000033010000}"/>
    <cellStyle name="Calcolo 4" xfId="5252" xr:uid="{00000000-0005-0000-0000-000034010000}"/>
    <cellStyle name="Calcolo 5" xfId="5253" xr:uid="{00000000-0005-0000-0000-000035010000}"/>
    <cellStyle name="Calcolo 6" xfId="5254" xr:uid="{00000000-0005-0000-0000-000036010000}"/>
    <cellStyle name="Calcolo 7" xfId="5255" xr:uid="{00000000-0005-0000-0000-000037010000}"/>
    <cellStyle name="Calculation 2" xfId="25" xr:uid="{00000000-0005-0000-0000-000038010000}"/>
    <cellStyle name="Calculation 2 2" xfId="5256" xr:uid="{00000000-0005-0000-0000-000039010000}"/>
    <cellStyle name="Calculation 2 3" xfId="5257" xr:uid="{00000000-0005-0000-0000-00003A010000}"/>
    <cellStyle name="Calculation 2 4" xfId="5258" xr:uid="{00000000-0005-0000-0000-00003B010000}"/>
    <cellStyle name="Calculations" xfId="3300" xr:uid="{00000000-0005-0000-0000-00003C010000}"/>
    <cellStyle name="Cella collegata" xfId="26" xr:uid="{00000000-0005-0000-0000-00003D010000}"/>
    <cellStyle name="Cella da controllare" xfId="27" xr:uid="{00000000-0005-0000-0000-00003E010000}"/>
    <cellStyle name="Check Cell 2" xfId="5259" xr:uid="{00000000-0005-0000-0000-00003F010000}"/>
    <cellStyle name="Colore 1" xfId="28" xr:uid="{00000000-0005-0000-0000-000040010000}"/>
    <cellStyle name="Colore 2" xfId="29" xr:uid="{00000000-0005-0000-0000-000041010000}"/>
    <cellStyle name="Colore 3" xfId="30" xr:uid="{00000000-0005-0000-0000-000042010000}"/>
    <cellStyle name="Colore 4" xfId="31" xr:uid="{00000000-0005-0000-0000-000043010000}"/>
    <cellStyle name="Colore 5" xfId="32" xr:uid="{00000000-0005-0000-0000-000044010000}"/>
    <cellStyle name="Colore 6" xfId="33" xr:uid="{00000000-0005-0000-0000-000045010000}"/>
    <cellStyle name="Comma 10" xfId="5260" xr:uid="{00000000-0005-0000-0000-000046010000}"/>
    <cellStyle name="Comma 11" xfId="5261" xr:uid="{00000000-0005-0000-0000-000047010000}"/>
    <cellStyle name="Comma 12" xfId="5262" xr:uid="{00000000-0005-0000-0000-000048010000}"/>
    <cellStyle name="Comma 13" xfId="5263" xr:uid="{00000000-0005-0000-0000-000049010000}"/>
    <cellStyle name="Comma 2" xfId="34" xr:uid="{00000000-0005-0000-0000-00004A010000}"/>
    <cellStyle name="Comma 2 10" xfId="5264" xr:uid="{00000000-0005-0000-0000-00004B010000}"/>
    <cellStyle name="Comma 2 2" xfId="35" xr:uid="{00000000-0005-0000-0000-00004C010000}"/>
    <cellStyle name="Comma 2 2 2" xfId="3303" xr:uid="{00000000-0005-0000-0000-00004D010000}"/>
    <cellStyle name="Comma 2 2 2 2" xfId="3936" xr:uid="{00000000-0005-0000-0000-00004E010000}"/>
    <cellStyle name="Comma 2 2 2 2 2" xfId="5265" xr:uid="{00000000-0005-0000-0000-00004F010000}"/>
    <cellStyle name="Comma 2 2 2 3" xfId="5266" xr:uid="{00000000-0005-0000-0000-000050010000}"/>
    <cellStyle name="Comma 2 2 2 4" xfId="5267" xr:uid="{00000000-0005-0000-0000-000051010000}"/>
    <cellStyle name="Comma 2 2 3" xfId="3302" xr:uid="{00000000-0005-0000-0000-000052010000}"/>
    <cellStyle name="Comma 2 2 3 2" xfId="5268" xr:uid="{00000000-0005-0000-0000-000053010000}"/>
    <cellStyle name="Comma 2 2 4" xfId="5269" xr:uid="{00000000-0005-0000-0000-000054010000}"/>
    <cellStyle name="Comma 2 2 5" xfId="5270" xr:uid="{00000000-0005-0000-0000-000055010000}"/>
    <cellStyle name="Comma 2 3" xfId="36" xr:uid="{00000000-0005-0000-0000-000056010000}"/>
    <cellStyle name="Comma 2 3 2" xfId="37" xr:uid="{00000000-0005-0000-0000-000057010000}"/>
    <cellStyle name="Comma 2 3 2 2" xfId="2012" xr:uid="{00000000-0005-0000-0000-000058010000}"/>
    <cellStyle name="Comma 2 3 2 3" xfId="3305" xr:uid="{00000000-0005-0000-0000-000059010000}"/>
    <cellStyle name="Comma 2 3 2 4" xfId="2011" xr:uid="{00000000-0005-0000-0000-00005A010000}"/>
    <cellStyle name="Comma 2 3 3" xfId="3306" xr:uid="{00000000-0005-0000-0000-00005B010000}"/>
    <cellStyle name="Comma 2 3 3 2" xfId="3938" xr:uid="{00000000-0005-0000-0000-00005C010000}"/>
    <cellStyle name="Comma 2 3 3 2 2" xfId="5271" xr:uid="{00000000-0005-0000-0000-00005D010000}"/>
    <cellStyle name="Comma 2 3 3 3" xfId="5272" xr:uid="{00000000-0005-0000-0000-00005E010000}"/>
    <cellStyle name="Comma 2 3 4" xfId="3937" xr:uid="{00000000-0005-0000-0000-00005F010000}"/>
    <cellStyle name="Comma 2 3 4 2" xfId="5273" xr:uid="{00000000-0005-0000-0000-000060010000}"/>
    <cellStyle name="Comma 2 3 5" xfId="3304" xr:uid="{00000000-0005-0000-0000-000061010000}"/>
    <cellStyle name="Comma 2 4" xfId="38" xr:uid="{00000000-0005-0000-0000-000062010000}"/>
    <cellStyle name="Comma 2 4 2" xfId="3307" xr:uid="{00000000-0005-0000-0000-000063010000}"/>
    <cellStyle name="Comma 2 5" xfId="1951" xr:uid="{00000000-0005-0000-0000-000064010000}"/>
    <cellStyle name="Comma 2 5 2" xfId="3308" xr:uid="{00000000-0005-0000-0000-000065010000}"/>
    <cellStyle name="Comma 2 5 2 2" xfId="5274" xr:uid="{00000000-0005-0000-0000-000066010000}"/>
    <cellStyle name="Comma 2 5 3" xfId="5275" xr:uid="{00000000-0005-0000-0000-000067010000}"/>
    <cellStyle name="Comma 2 5 4" xfId="5276" xr:uid="{00000000-0005-0000-0000-000068010000}"/>
    <cellStyle name="Comma 2 5 5" xfId="5277" xr:uid="{00000000-0005-0000-0000-000069010000}"/>
    <cellStyle name="Comma 2 5 6" xfId="5278" xr:uid="{00000000-0005-0000-0000-00006A010000}"/>
    <cellStyle name="Comma 2 6" xfId="3309" xr:uid="{00000000-0005-0000-0000-00006B010000}"/>
    <cellStyle name="Comma 2 6 2" xfId="3310" xr:uid="{00000000-0005-0000-0000-00006C010000}"/>
    <cellStyle name="Comma 2 6 3" xfId="5279" xr:uid="{00000000-0005-0000-0000-00006D010000}"/>
    <cellStyle name="Comma 2 7" xfId="3301" xr:uid="{00000000-0005-0000-0000-00006E010000}"/>
    <cellStyle name="Comma 2 8" xfId="3231" xr:uid="{00000000-0005-0000-0000-00006F010000}"/>
    <cellStyle name="Comma 2 9" xfId="5280" xr:uid="{00000000-0005-0000-0000-000070010000}"/>
    <cellStyle name="Comma 3" xfId="39" xr:uid="{00000000-0005-0000-0000-000071010000}"/>
    <cellStyle name="Comma 3 2" xfId="1953" xr:uid="{00000000-0005-0000-0000-000072010000}"/>
    <cellStyle name="Comma 3 2 2" xfId="3313" xr:uid="{00000000-0005-0000-0000-000073010000}"/>
    <cellStyle name="Comma 3 2 2 2" xfId="5281" xr:uid="{00000000-0005-0000-0000-000074010000}"/>
    <cellStyle name="Comma 3 2 3" xfId="3312" xr:uid="{00000000-0005-0000-0000-000075010000}"/>
    <cellStyle name="Comma 3 2 4" xfId="5282" xr:uid="{00000000-0005-0000-0000-000076010000}"/>
    <cellStyle name="Comma 3 2 5" xfId="5283" xr:uid="{00000000-0005-0000-0000-000077010000}"/>
    <cellStyle name="Comma 3 3" xfId="3314" xr:uid="{00000000-0005-0000-0000-000078010000}"/>
    <cellStyle name="Comma 3 3 2" xfId="3940" xr:uid="{00000000-0005-0000-0000-000079010000}"/>
    <cellStyle name="Comma 3 3 2 2" xfId="5284" xr:uid="{00000000-0005-0000-0000-00007A010000}"/>
    <cellStyle name="Comma 3 3 3" xfId="5285" xr:uid="{00000000-0005-0000-0000-00007B010000}"/>
    <cellStyle name="Comma 3 3 4" xfId="5286" xr:uid="{00000000-0005-0000-0000-00007C010000}"/>
    <cellStyle name="Comma 3 3 5" xfId="5287" xr:uid="{00000000-0005-0000-0000-00007D010000}"/>
    <cellStyle name="Comma 3 4" xfId="3939" xr:uid="{00000000-0005-0000-0000-00007E010000}"/>
    <cellStyle name="Comma 3 4 2" xfId="5288" xr:uid="{00000000-0005-0000-0000-00007F010000}"/>
    <cellStyle name="Comma 3 5" xfId="3311" xr:uid="{00000000-0005-0000-0000-000080010000}"/>
    <cellStyle name="Comma 3 6" xfId="3232" xr:uid="{00000000-0005-0000-0000-000081010000}"/>
    <cellStyle name="Comma 3 7" xfId="5289" xr:uid="{00000000-0005-0000-0000-000082010000}"/>
    <cellStyle name="Comma 3 8" xfId="5290" xr:uid="{00000000-0005-0000-0000-000083010000}"/>
    <cellStyle name="Comma 4" xfId="40" xr:uid="{00000000-0005-0000-0000-000084010000}"/>
    <cellStyle name="Comma 4 2" xfId="2013" xr:uid="{00000000-0005-0000-0000-000085010000}"/>
    <cellStyle name="Comma 4 2 2" xfId="3317" xr:uid="{00000000-0005-0000-0000-000086010000}"/>
    <cellStyle name="Comma 4 2 2 2" xfId="5291" xr:uid="{00000000-0005-0000-0000-000087010000}"/>
    <cellStyle name="Comma 4 2 3" xfId="3316" xr:uid="{00000000-0005-0000-0000-000088010000}"/>
    <cellStyle name="Comma 4 2 4" xfId="5292" xr:uid="{00000000-0005-0000-0000-000089010000}"/>
    <cellStyle name="Comma 4 2 5" xfId="5293" xr:uid="{00000000-0005-0000-0000-00008A010000}"/>
    <cellStyle name="Comma 4 3" xfId="3318" xr:uid="{00000000-0005-0000-0000-00008B010000}"/>
    <cellStyle name="Comma 4 3 2" xfId="3942" xr:uid="{00000000-0005-0000-0000-00008C010000}"/>
    <cellStyle name="Comma 4 3 2 2" xfId="5294" xr:uid="{00000000-0005-0000-0000-00008D010000}"/>
    <cellStyle name="Comma 4 3 3" xfId="5295" xr:uid="{00000000-0005-0000-0000-00008E010000}"/>
    <cellStyle name="Comma 4 4" xfId="3319" xr:uid="{00000000-0005-0000-0000-00008F010000}"/>
    <cellStyle name="Comma 4 4 2" xfId="3943" xr:uid="{00000000-0005-0000-0000-000090010000}"/>
    <cellStyle name="Comma 4 4 2 2" xfId="5296" xr:uid="{00000000-0005-0000-0000-000091010000}"/>
    <cellStyle name="Comma 4 4 3" xfId="5297" xr:uid="{00000000-0005-0000-0000-000092010000}"/>
    <cellStyle name="Comma 4 5" xfId="3941" xr:uid="{00000000-0005-0000-0000-000093010000}"/>
    <cellStyle name="Comma 4 5 2" xfId="5298" xr:uid="{00000000-0005-0000-0000-000094010000}"/>
    <cellStyle name="Comma 4 6" xfId="3315" xr:uid="{00000000-0005-0000-0000-000095010000}"/>
    <cellStyle name="Comma 4 7" xfId="5299" xr:uid="{00000000-0005-0000-0000-000096010000}"/>
    <cellStyle name="Comma 4 8" xfId="5300" xr:uid="{00000000-0005-0000-0000-000097010000}"/>
    <cellStyle name="Comma 5" xfId="41" xr:uid="{00000000-0005-0000-0000-000098010000}"/>
    <cellStyle name="Comma 5 2" xfId="3944" xr:uid="{00000000-0005-0000-0000-000099010000}"/>
    <cellStyle name="Comma 5 2 2" xfId="5301" xr:uid="{00000000-0005-0000-0000-00009A010000}"/>
    <cellStyle name="Comma 5 2 2 2" xfId="5302" xr:uid="{00000000-0005-0000-0000-00009B010000}"/>
    <cellStyle name="Comma 5 2 3" xfId="5303" xr:uid="{00000000-0005-0000-0000-00009C010000}"/>
    <cellStyle name="Comma 5 2 4" xfId="5304" xr:uid="{00000000-0005-0000-0000-00009D010000}"/>
    <cellStyle name="Comma 5 2 5" xfId="5305" xr:uid="{00000000-0005-0000-0000-00009E010000}"/>
    <cellStyle name="Comma 5 2 6" xfId="5306" xr:uid="{00000000-0005-0000-0000-00009F010000}"/>
    <cellStyle name="Comma 5 2 7" xfId="5307" xr:uid="{00000000-0005-0000-0000-0000A0010000}"/>
    <cellStyle name="Comma 5 3" xfId="3320" xr:uid="{00000000-0005-0000-0000-0000A1010000}"/>
    <cellStyle name="Comma 5 4" xfId="2014" xr:uid="{00000000-0005-0000-0000-0000A2010000}"/>
    <cellStyle name="Comma 5 5" xfId="5308" xr:uid="{00000000-0005-0000-0000-0000A3010000}"/>
    <cellStyle name="Comma 6" xfId="42" xr:uid="{00000000-0005-0000-0000-0000A4010000}"/>
    <cellStyle name="Comma 6 2" xfId="3945" xr:uid="{00000000-0005-0000-0000-0000A5010000}"/>
    <cellStyle name="Comma 6 2 2" xfId="5309" xr:uid="{00000000-0005-0000-0000-0000A6010000}"/>
    <cellStyle name="Comma 6 2 3" xfId="5310" xr:uid="{00000000-0005-0000-0000-0000A7010000}"/>
    <cellStyle name="Comma 6 2 4" xfId="5311" xr:uid="{00000000-0005-0000-0000-0000A8010000}"/>
    <cellStyle name="Comma 6 3" xfId="3321" xr:uid="{00000000-0005-0000-0000-0000A9010000}"/>
    <cellStyle name="Comma 6 4" xfId="5312" xr:uid="{00000000-0005-0000-0000-0000AA010000}"/>
    <cellStyle name="Comma 7" xfId="3871" xr:uid="{00000000-0005-0000-0000-0000AB010000}"/>
    <cellStyle name="Comma 7 2" xfId="5018" xr:uid="{00000000-0005-0000-0000-0000AC010000}"/>
    <cellStyle name="Comma 7 2 2" xfId="5313" xr:uid="{00000000-0005-0000-0000-0000AD010000}"/>
    <cellStyle name="Comma 7 2 3" xfId="5314" xr:uid="{00000000-0005-0000-0000-0000AE010000}"/>
    <cellStyle name="Comma 7 3" xfId="5315" xr:uid="{00000000-0005-0000-0000-0000AF010000}"/>
    <cellStyle name="Comma 7 4" xfId="5316" xr:uid="{00000000-0005-0000-0000-0000B0010000}"/>
    <cellStyle name="Comma 7 5" xfId="5317" xr:uid="{00000000-0005-0000-0000-0000B1010000}"/>
    <cellStyle name="Comma 8" xfId="5318" xr:uid="{00000000-0005-0000-0000-0000B2010000}"/>
    <cellStyle name="Comma 8 2" xfId="5319" xr:uid="{00000000-0005-0000-0000-0000B3010000}"/>
    <cellStyle name="Comma 9" xfId="5320" xr:uid="{00000000-0005-0000-0000-0000B4010000}"/>
    <cellStyle name="Comma 9 2" xfId="5321" xr:uid="{00000000-0005-0000-0000-0000B5010000}"/>
    <cellStyle name="Comma 9 2 2" xfId="5322" xr:uid="{00000000-0005-0000-0000-0000B6010000}"/>
    <cellStyle name="Comma 9 2 2 2" xfId="5323" xr:uid="{00000000-0005-0000-0000-0000B7010000}"/>
    <cellStyle name="Comma 9 2 3" xfId="5324" xr:uid="{00000000-0005-0000-0000-0000B8010000}"/>
    <cellStyle name="Comma 9 2 3 2" xfId="5325" xr:uid="{00000000-0005-0000-0000-0000B9010000}"/>
    <cellStyle name="Comma 9 2 4" xfId="5326" xr:uid="{00000000-0005-0000-0000-0000BA010000}"/>
    <cellStyle name="Comma 9 3" xfId="5327" xr:uid="{00000000-0005-0000-0000-0000BB010000}"/>
    <cellStyle name="Comma 9 3 2" xfId="5328" xr:uid="{00000000-0005-0000-0000-0000BC010000}"/>
    <cellStyle name="Comma 9 4" xfId="5329" xr:uid="{00000000-0005-0000-0000-0000BD010000}"/>
    <cellStyle name="Comma 9 4 2" xfId="5330" xr:uid="{00000000-0005-0000-0000-0000BE010000}"/>
    <cellStyle name="Comma 9 5" xfId="5331" xr:uid="{00000000-0005-0000-0000-0000BF010000}"/>
    <cellStyle name="Comma 9 5 2" xfId="5332" xr:uid="{00000000-0005-0000-0000-0000C0010000}"/>
    <cellStyle name="Comma 9 6" xfId="5333" xr:uid="{00000000-0005-0000-0000-0000C1010000}"/>
    <cellStyle name="Comma 9 7" xfId="5334" xr:uid="{00000000-0005-0000-0000-0000C2010000}"/>
    <cellStyle name="Comma 9 8" xfId="5335" xr:uid="{00000000-0005-0000-0000-0000C3010000}"/>
    <cellStyle name="Comma0 - Type3" xfId="43" xr:uid="{00000000-0005-0000-0000-0000C4010000}"/>
    <cellStyle name="Currency" xfId="8182" builtinId="4"/>
    <cellStyle name="CustomizationCells" xfId="44" xr:uid="{00000000-0005-0000-0000-0000C6010000}"/>
    <cellStyle name="CustomizationCells 2" xfId="2015" xr:uid="{00000000-0005-0000-0000-0000C7010000}"/>
    <cellStyle name="CustomizationCells 3" xfId="5336" xr:uid="{00000000-0005-0000-0000-0000C8010000}"/>
    <cellStyle name="CustomizationCells 4" xfId="5337" xr:uid="{00000000-0005-0000-0000-0000C9010000}"/>
    <cellStyle name="CustomizationCells 5" xfId="5338" xr:uid="{00000000-0005-0000-0000-0000CA010000}"/>
    <cellStyle name="CustomizationCells 6" xfId="5339" xr:uid="{00000000-0005-0000-0000-0000CB010000}"/>
    <cellStyle name="Euro" xfId="45" xr:uid="{00000000-0005-0000-0000-0000CC010000}"/>
    <cellStyle name="Euro 10" xfId="46" xr:uid="{00000000-0005-0000-0000-0000CD010000}"/>
    <cellStyle name="Euro 10 2" xfId="47" xr:uid="{00000000-0005-0000-0000-0000CE010000}"/>
    <cellStyle name="Euro 10 2 2" xfId="3946" xr:uid="{00000000-0005-0000-0000-0000CF010000}"/>
    <cellStyle name="Euro 10 3" xfId="48" xr:uid="{00000000-0005-0000-0000-0000D0010000}"/>
    <cellStyle name="Euro 10 3 2" xfId="49" xr:uid="{00000000-0005-0000-0000-0000D1010000}"/>
    <cellStyle name="Euro 10 3 2 2" xfId="2017" xr:uid="{00000000-0005-0000-0000-0000D2010000}"/>
    <cellStyle name="Euro 10 3 2 3" xfId="2016" xr:uid="{00000000-0005-0000-0000-0000D3010000}"/>
    <cellStyle name="Euro 10 3 3" xfId="3322" xr:uid="{00000000-0005-0000-0000-0000D4010000}"/>
    <cellStyle name="Euro 10 3 3 2" xfId="3948" xr:uid="{00000000-0005-0000-0000-0000D5010000}"/>
    <cellStyle name="Euro 10 3 4" xfId="3947" xr:uid="{00000000-0005-0000-0000-0000D6010000}"/>
    <cellStyle name="Euro 10 4" xfId="50" xr:uid="{00000000-0005-0000-0000-0000D7010000}"/>
    <cellStyle name="Euro 10 4 2" xfId="2018" xr:uid="{00000000-0005-0000-0000-0000D8010000}"/>
    <cellStyle name="Euro 10 4 2 2" xfId="3950" xr:uid="{00000000-0005-0000-0000-0000D9010000}"/>
    <cellStyle name="Euro 10 4 3" xfId="3949" xr:uid="{00000000-0005-0000-0000-0000DA010000}"/>
    <cellStyle name="Euro 10 5" xfId="51" xr:uid="{00000000-0005-0000-0000-0000DB010000}"/>
    <cellStyle name="Euro 10 6" xfId="52" xr:uid="{00000000-0005-0000-0000-0000DC010000}"/>
    <cellStyle name="Euro 11" xfId="53" xr:uid="{00000000-0005-0000-0000-0000DD010000}"/>
    <cellStyle name="Euro 11 2" xfId="54" xr:uid="{00000000-0005-0000-0000-0000DE010000}"/>
    <cellStyle name="Euro 11 2 2" xfId="3951" xr:uid="{00000000-0005-0000-0000-0000DF010000}"/>
    <cellStyle name="Euro 11 3" xfId="55" xr:uid="{00000000-0005-0000-0000-0000E0010000}"/>
    <cellStyle name="Euro 11 3 2" xfId="56" xr:uid="{00000000-0005-0000-0000-0000E1010000}"/>
    <cellStyle name="Euro 11 3 2 2" xfId="2020" xr:uid="{00000000-0005-0000-0000-0000E2010000}"/>
    <cellStyle name="Euro 11 3 2 3" xfId="2019" xr:uid="{00000000-0005-0000-0000-0000E3010000}"/>
    <cellStyle name="Euro 11 3 3" xfId="3323" xr:uid="{00000000-0005-0000-0000-0000E4010000}"/>
    <cellStyle name="Euro 11 3 3 2" xfId="3953" xr:uid="{00000000-0005-0000-0000-0000E5010000}"/>
    <cellStyle name="Euro 11 3 4" xfId="3952" xr:uid="{00000000-0005-0000-0000-0000E6010000}"/>
    <cellStyle name="Euro 11 4" xfId="57" xr:uid="{00000000-0005-0000-0000-0000E7010000}"/>
    <cellStyle name="Euro 11 4 2" xfId="2021" xr:uid="{00000000-0005-0000-0000-0000E8010000}"/>
    <cellStyle name="Euro 11 4 2 2" xfId="3955" xr:uid="{00000000-0005-0000-0000-0000E9010000}"/>
    <cellStyle name="Euro 11 4 3" xfId="3954" xr:uid="{00000000-0005-0000-0000-0000EA010000}"/>
    <cellStyle name="Euro 11 5" xfId="58" xr:uid="{00000000-0005-0000-0000-0000EB010000}"/>
    <cellStyle name="Euro 11 6" xfId="59" xr:uid="{00000000-0005-0000-0000-0000EC010000}"/>
    <cellStyle name="Euro 12" xfId="60" xr:uid="{00000000-0005-0000-0000-0000ED010000}"/>
    <cellStyle name="Euro 12 2" xfId="61" xr:uid="{00000000-0005-0000-0000-0000EE010000}"/>
    <cellStyle name="Euro 12 2 2" xfId="3956" xr:uid="{00000000-0005-0000-0000-0000EF010000}"/>
    <cellStyle name="Euro 12 3" xfId="62" xr:uid="{00000000-0005-0000-0000-0000F0010000}"/>
    <cellStyle name="Euro 12 3 2" xfId="63" xr:uid="{00000000-0005-0000-0000-0000F1010000}"/>
    <cellStyle name="Euro 12 3 2 2" xfId="2023" xr:uid="{00000000-0005-0000-0000-0000F2010000}"/>
    <cellStyle name="Euro 12 3 2 3" xfId="2022" xr:uid="{00000000-0005-0000-0000-0000F3010000}"/>
    <cellStyle name="Euro 12 3 3" xfId="3324" xr:uid="{00000000-0005-0000-0000-0000F4010000}"/>
    <cellStyle name="Euro 12 3 3 2" xfId="3958" xr:uid="{00000000-0005-0000-0000-0000F5010000}"/>
    <cellStyle name="Euro 12 3 4" xfId="3957" xr:uid="{00000000-0005-0000-0000-0000F6010000}"/>
    <cellStyle name="Euro 12 4" xfId="64" xr:uid="{00000000-0005-0000-0000-0000F7010000}"/>
    <cellStyle name="Euro 12 4 2" xfId="2024" xr:uid="{00000000-0005-0000-0000-0000F8010000}"/>
    <cellStyle name="Euro 12 4 2 2" xfId="3960" xr:uid="{00000000-0005-0000-0000-0000F9010000}"/>
    <cellStyle name="Euro 12 4 3" xfId="3959" xr:uid="{00000000-0005-0000-0000-0000FA010000}"/>
    <cellStyle name="Euro 12 5" xfId="65" xr:uid="{00000000-0005-0000-0000-0000FB010000}"/>
    <cellStyle name="Euro 12 6" xfId="66" xr:uid="{00000000-0005-0000-0000-0000FC010000}"/>
    <cellStyle name="Euro 13" xfId="67" xr:uid="{00000000-0005-0000-0000-0000FD010000}"/>
    <cellStyle name="Euro 13 2" xfId="68" xr:uid="{00000000-0005-0000-0000-0000FE010000}"/>
    <cellStyle name="Euro 13 2 2" xfId="3961" xr:uid="{00000000-0005-0000-0000-0000FF010000}"/>
    <cellStyle name="Euro 13 3" xfId="69" xr:uid="{00000000-0005-0000-0000-000000020000}"/>
    <cellStyle name="Euro 13 3 2" xfId="70" xr:uid="{00000000-0005-0000-0000-000001020000}"/>
    <cellStyle name="Euro 13 3 2 2" xfId="2026" xr:uid="{00000000-0005-0000-0000-000002020000}"/>
    <cellStyle name="Euro 13 3 2 3" xfId="2025" xr:uid="{00000000-0005-0000-0000-000003020000}"/>
    <cellStyle name="Euro 13 3 3" xfId="3325" xr:uid="{00000000-0005-0000-0000-000004020000}"/>
    <cellStyle name="Euro 13 3 3 2" xfId="3963" xr:uid="{00000000-0005-0000-0000-000005020000}"/>
    <cellStyle name="Euro 13 3 4" xfId="3962" xr:uid="{00000000-0005-0000-0000-000006020000}"/>
    <cellStyle name="Euro 13 4" xfId="71" xr:uid="{00000000-0005-0000-0000-000007020000}"/>
    <cellStyle name="Euro 13 4 2" xfId="2027" xr:uid="{00000000-0005-0000-0000-000008020000}"/>
    <cellStyle name="Euro 13 4 2 2" xfId="3965" xr:uid="{00000000-0005-0000-0000-000009020000}"/>
    <cellStyle name="Euro 13 4 3" xfId="3964" xr:uid="{00000000-0005-0000-0000-00000A020000}"/>
    <cellStyle name="Euro 13 5" xfId="72" xr:uid="{00000000-0005-0000-0000-00000B020000}"/>
    <cellStyle name="Euro 13 6" xfId="73" xr:uid="{00000000-0005-0000-0000-00000C020000}"/>
    <cellStyle name="Euro 14" xfId="74" xr:uid="{00000000-0005-0000-0000-00000D020000}"/>
    <cellStyle name="Euro 14 2" xfId="75" xr:uid="{00000000-0005-0000-0000-00000E020000}"/>
    <cellStyle name="Euro 14 2 2" xfId="3966" xr:uid="{00000000-0005-0000-0000-00000F020000}"/>
    <cellStyle name="Euro 14 3" xfId="76" xr:uid="{00000000-0005-0000-0000-000010020000}"/>
    <cellStyle name="Euro 14 3 2" xfId="77" xr:uid="{00000000-0005-0000-0000-000011020000}"/>
    <cellStyle name="Euro 14 3 2 2" xfId="2029" xr:uid="{00000000-0005-0000-0000-000012020000}"/>
    <cellStyle name="Euro 14 3 2 3" xfId="2028" xr:uid="{00000000-0005-0000-0000-000013020000}"/>
    <cellStyle name="Euro 14 3 3" xfId="3326" xr:uid="{00000000-0005-0000-0000-000014020000}"/>
    <cellStyle name="Euro 14 3 3 2" xfId="3968" xr:uid="{00000000-0005-0000-0000-000015020000}"/>
    <cellStyle name="Euro 14 3 4" xfId="3967" xr:uid="{00000000-0005-0000-0000-000016020000}"/>
    <cellStyle name="Euro 14 4" xfId="78" xr:uid="{00000000-0005-0000-0000-000017020000}"/>
    <cellStyle name="Euro 14 4 2" xfId="2030" xr:uid="{00000000-0005-0000-0000-000018020000}"/>
    <cellStyle name="Euro 14 4 2 2" xfId="3970" xr:uid="{00000000-0005-0000-0000-000019020000}"/>
    <cellStyle name="Euro 14 4 3" xfId="3969" xr:uid="{00000000-0005-0000-0000-00001A020000}"/>
    <cellStyle name="Euro 14 5" xfId="79" xr:uid="{00000000-0005-0000-0000-00001B020000}"/>
    <cellStyle name="Euro 14 6" xfId="80" xr:uid="{00000000-0005-0000-0000-00001C020000}"/>
    <cellStyle name="Euro 15" xfId="81" xr:uid="{00000000-0005-0000-0000-00001D020000}"/>
    <cellStyle name="Euro 15 2" xfId="82" xr:uid="{00000000-0005-0000-0000-00001E020000}"/>
    <cellStyle name="Euro 15 2 2" xfId="3971" xr:uid="{00000000-0005-0000-0000-00001F020000}"/>
    <cellStyle name="Euro 15 3" xfId="83" xr:uid="{00000000-0005-0000-0000-000020020000}"/>
    <cellStyle name="Euro 15 3 2" xfId="84" xr:uid="{00000000-0005-0000-0000-000021020000}"/>
    <cellStyle name="Euro 15 3 2 2" xfId="2032" xr:uid="{00000000-0005-0000-0000-000022020000}"/>
    <cellStyle name="Euro 15 3 2 3" xfId="2031" xr:uid="{00000000-0005-0000-0000-000023020000}"/>
    <cellStyle name="Euro 15 3 3" xfId="3327" xr:uid="{00000000-0005-0000-0000-000024020000}"/>
    <cellStyle name="Euro 15 3 3 2" xfId="3973" xr:uid="{00000000-0005-0000-0000-000025020000}"/>
    <cellStyle name="Euro 15 3 4" xfId="3972" xr:uid="{00000000-0005-0000-0000-000026020000}"/>
    <cellStyle name="Euro 15 4" xfId="85" xr:uid="{00000000-0005-0000-0000-000027020000}"/>
    <cellStyle name="Euro 15 4 2" xfId="2033" xr:uid="{00000000-0005-0000-0000-000028020000}"/>
    <cellStyle name="Euro 15 4 2 2" xfId="3975" xr:uid="{00000000-0005-0000-0000-000029020000}"/>
    <cellStyle name="Euro 15 4 3" xfId="3974" xr:uid="{00000000-0005-0000-0000-00002A020000}"/>
    <cellStyle name="Euro 15 5" xfId="86" xr:uid="{00000000-0005-0000-0000-00002B020000}"/>
    <cellStyle name="Euro 15 6" xfId="87" xr:uid="{00000000-0005-0000-0000-00002C020000}"/>
    <cellStyle name="Euro 16" xfId="88" xr:uid="{00000000-0005-0000-0000-00002D020000}"/>
    <cellStyle name="Euro 16 2" xfId="89" xr:uid="{00000000-0005-0000-0000-00002E020000}"/>
    <cellStyle name="Euro 16 2 2" xfId="3976" xr:uid="{00000000-0005-0000-0000-00002F020000}"/>
    <cellStyle name="Euro 16 3" xfId="90" xr:uid="{00000000-0005-0000-0000-000030020000}"/>
    <cellStyle name="Euro 16 3 2" xfId="91" xr:uid="{00000000-0005-0000-0000-000031020000}"/>
    <cellStyle name="Euro 16 3 2 2" xfId="2035" xr:uid="{00000000-0005-0000-0000-000032020000}"/>
    <cellStyle name="Euro 16 3 2 3" xfId="2034" xr:uid="{00000000-0005-0000-0000-000033020000}"/>
    <cellStyle name="Euro 16 3 3" xfId="3328" xr:uid="{00000000-0005-0000-0000-000034020000}"/>
    <cellStyle name="Euro 16 3 3 2" xfId="3978" xr:uid="{00000000-0005-0000-0000-000035020000}"/>
    <cellStyle name="Euro 16 3 4" xfId="3977" xr:uid="{00000000-0005-0000-0000-000036020000}"/>
    <cellStyle name="Euro 16 4" xfId="92" xr:uid="{00000000-0005-0000-0000-000037020000}"/>
    <cellStyle name="Euro 16 4 2" xfId="2036" xr:uid="{00000000-0005-0000-0000-000038020000}"/>
    <cellStyle name="Euro 16 4 2 2" xfId="3980" xr:uid="{00000000-0005-0000-0000-000039020000}"/>
    <cellStyle name="Euro 16 4 3" xfId="3979" xr:uid="{00000000-0005-0000-0000-00003A020000}"/>
    <cellStyle name="Euro 16 5" xfId="93" xr:uid="{00000000-0005-0000-0000-00003B020000}"/>
    <cellStyle name="Euro 16 6" xfId="94" xr:uid="{00000000-0005-0000-0000-00003C020000}"/>
    <cellStyle name="Euro 17" xfId="95" xr:uid="{00000000-0005-0000-0000-00003D020000}"/>
    <cellStyle name="Euro 17 2" xfId="96" xr:uid="{00000000-0005-0000-0000-00003E020000}"/>
    <cellStyle name="Euro 17 2 2" xfId="3981" xr:uid="{00000000-0005-0000-0000-00003F020000}"/>
    <cellStyle name="Euro 17 3" xfId="97" xr:uid="{00000000-0005-0000-0000-000040020000}"/>
    <cellStyle name="Euro 17 3 2" xfId="98" xr:uid="{00000000-0005-0000-0000-000041020000}"/>
    <cellStyle name="Euro 17 3 2 2" xfId="2038" xr:uid="{00000000-0005-0000-0000-000042020000}"/>
    <cellStyle name="Euro 17 3 2 3" xfId="2037" xr:uid="{00000000-0005-0000-0000-000043020000}"/>
    <cellStyle name="Euro 17 3 3" xfId="3329" xr:uid="{00000000-0005-0000-0000-000044020000}"/>
    <cellStyle name="Euro 17 3 3 2" xfId="3983" xr:uid="{00000000-0005-0000-0000-000045020000}"/>
    <cellStyle name="Euro 17 3 4" xfId="3982" xr:uid="{00000000-0005-0000-0000-000046020000}"/>
    <cellStyle name="Euro 17 4" xfId="99" xr:uid="{00000000-0005-0000-0000-000047020000}"/>
    <cellStyle name="Euro 17 4 2" xfId="2039" xr:uid="{00000000-0005-0000-0000-000048020000}"/>
    <cellStyle name="Euro 17 4 2 2" xfId="3985" xr:uid="{00000000-0005-0000-0000-000049020000}"/>
    <cellStyle name="Euro 17 4 3" xfId="3984" xr:uid="{00000000-0005-0000-0000-00004A020000}"/>
    <cellStyle name="Euro 17 5" xfId="100" xr:uid="{00000000-0005-0000-0000-00004B020000}"/>
    <cellStyle name="Euro 17 6" xfId="101" xr:uid="{00000000-0005-0000-0000-00004C020000}"/>
    <cellStyle name="Euro 18" xfId="102" xr:uid="{00000000-0005-0000-0000-00004D020000}"/>
    <cellStyle name="Euro 18 2" xfId="103" xr:uid="{00000000-0005-0000-0000-00004E020000}"/>
    <cellStyle name="Euro 18 2 2" xfId="3986" xr:uid="{00000000-0005-0000-0000-00004F020000}"/>
    <cellStyle name="Euro 18 3" xfId="104" xr:uid="{00000000-0005-0000-0000-000050020000}"/>
    <cellStyle name="Euro 18 3 2" xfId="105" xr:uid="{00000000-0005-0000-0000-000051020000}"/>
    <cellStyle name="Euro 18 3 2 2" xfId="2041" xr:uid="{00000000-0005-0000-0000-000052020000}"/>
    <cellStyle name="Euro 18 3 2 3" xfId="2040" xr:uid="{00000000-0005-0000-0000-000053020000}"/>
    <cellStyle name="Euro 18 3 3" xfId="3330" xr:uid="{00000000-0005-0000-0000-000054020000}"/>
    <cellStyle name="Euro 18 3 3 2" xfId="3988" xr:uid="{00000000-0005-0000-0000-000055020000}"/>
    <cellStyle name="Euro 18 3 4" xfId="3987" xr:uid="{00000000-0005-0000-0000-000056020000}"/>
    <cellStyle name="Euro 18 4" xfId="106" xr:uid="{00000000-0005-0000-0000-000057020000}"/>
    <cellStyle name="Euro 18 4 2" xfId="2042" xr:uid="{00000000-0005-0000-0000-000058020000}"/>
    <cellStyle name="Euro 18 4 2 2" xfId="3990" xr:uid="{00000000-0005-0000-0000-000059020000}"/>
    <cellStyle name="Euro 18 4 3" xfId="3989" xr:uid="{00000000-0005-0000-0000-00005A020000}"/>
    <cellStyle name="Euro 18 5" xfId="107" xr:uid="{00000000-0005-0000-0000-00005B020000}"/>
    <cellStyle name="Euro 18 6" xfId="108" xr:uid="{00000000-0005-0000-0000-00005C020000}"/>
    <cellStyle name="Euro 19" xfId="109" xr:uid="{00000000-0005-0000-0000-00005D020000}"/>
    <cellStyle name="Euro 19 2" xfId="110" xr:uid="{00000000-0005-0000-0000-00005E020000}"/>
    <cellStyle name="Euro 19 2 2" xfId="3991" xr:uid="{00000000-0005-0000-0000-00005F020000}"/>
    <cellStyle name="Euro 19 3" xfId="111" xr:uid="{00000000-0005-0000-0000-000060020000}"/>
    <cellStyle name="Euro 19 3 2" xfId="112" xr:uid="{00000000-0005-0000-0000-000061020000}"/>
    <cellStyle name="Euro 19 3 2 2" xfId="2044" xr:uid="{00000000-0005-0000-0000-000062020000}"/>
    <cellStyle name="Euro 19 3 2 3" xfId="2043" xr:uid="{00000000-0005-0000-0000-000063020000}"/>
    <cellStyle name="Euro 19 3 3" xfId="3331" xr:uid="{00000000-0005-0000-0000-000064020000}"/>
    <cellStyle name="Euro 19 3 3 2" xfId="3993" xr:uid="{00000000-0005-0000-0000-000065020000}"/>
    <cellStyle name="Euro 19 3 4" xfId="3992" xr:uid="{00000000-0005-0000-0000-000066020000}"/>
    <cellStyle name="Euro 19 4" xfId="113" xr:uid="{00000000-0005-0000-0000-000067020000}"/>
    <cellStyle name="Euro 19 4 2" xfId="2045" xr:uid="{00000000-0005-0000-0000-000068020000}"/>
    <cellStyle name="Euro 19 4 2 2" xfId="3995" xr:uid="{00000000-0005-0000-0000-000069020000}"/>
    <cellStyle name="Euro 19 4 3" xfId="3994" xr:uid="{00000000-0005-0000-0000-00006A020000}"/>
    <cellStyle name="Euro 19 5" xfId="114" xr:uid="{00000000-0005-0000-0000-00006B020000}"/>
    <cellStyle name="Euro 19 6" xfId="115" xr:uid="{00000000-0005-0000-0000-00006C020000}"/>
    <cellStyle name="Euro 2" xfId="116" xr:uid="{00000000-0005-0000-0000-00006D020000}"/>
    <cellStyle name="Euro 2 2" xfId="117" xr:uid="{00000000-0005-0000-0000-00006E020000}"/>
    <cellStyle name="Euro 2 2 2" xfId="3996" xr:uid="{00000000-0005-0000-0000-00006F020000}"/>
    <cellStyle name="Euro 2 3" xfId="118" xr:uid="{00000000-0005-0000-0000-000070020000}"/>
    <cellStyle name="Euro 2 3 2" xfId="119" xr:uid="{00000000-0005-0000-0000-000071020000}"/>
    <cellStyle name="Euro 2 3 2 2" xfId="2047" xr:uid="{00000000-0005-0000-0000-000072020000}"/>
    <cellStyle name="Euro 2 3 2 3" xfId="2046" xr:uid="{00000000-0005-0000-0000-000073020000}"/>
    <cellStyle name="Euro 2 3 3" xfId="3332" xr:uid="{00000000-0005-0000-0000-000074020000}"/>
    <cellStyle name="Euro 2 3 3 2" xfId="3998" xr:uid="{00000000-0005-0000-0000-000075020000}"/>
    <cellStyle name="Euro 2 3 4" xfId="3997" xr:uid="{00000000-0005-0000-0000-000076020000}"/>
    <cellStyle name="Euro 2 4" xfId="120" xr:uid="{00000000-0005-0000-0000-000077020000}"/>
    <cellStyle name="Euro 2 4 2" xfId="2048" xr:uid="{00000000-0005-0000-0000-000078020000}"/>
    <cellStyle name="Euro 2 4 2 2" xfId="4000" xr:uid="{00000000-0005-0000-0000-000079020000}"/>
    <cellStyle name="Euro 2 4 3" xfId="3999" xr:uid="{00000000-0005-0000-0000-00007A020000}"/>
    <cellStyle name="Euro 2 5" xfId="121" xr:uid="{00000000-0005-0000-0000-00007B020000}"/>
    <cellStyle name="Euro 2 6" xfId="122" xr:uid="{00000000-0005-0000-0000-00007C020000}"/>
    <cellStyle name="Euro 20" xfId="123" xr:uid="{00000000-0005-0000-0000-00007D020000}"/>
    <cellStyle name="Euro 20 2" xfId="124" xr:uid="{00000000-0005-0000-0000-00007E020000}"/>
    <cellStyle name="Euro 20 2 2" xfId="4001" xr:uid="{00000000-0005-0000-0000-00007F020000}"/>
    <cellStyle name="Euro 20 3" xfId="125" xr:uid="{00000000-0005-0000-0000-000080020000}"/>
    <cellStyle name="Euro 20 3 2" xfId="126" xr:uid="{00000000-0005-0000-0000-000081020000}"/>
    <cellStyle name="Euro 20 3 2 2" xfId="2050" xr:uid="{00000000-0005-0000-0000-000082020000}"/>
    <cellStyle name="Euro 20 3 2 3" xfId="2049" xr:uid="{00000000-0005-0000-0000-000083020000}"/>
    <cellStyle name="Euro 20 3 3" xfId="3333" xr:uid="{00000000-0005-0000-0000-000084020000}"/>
    <cellStyle name="Euro 20 3 3 2" xfId="4003" xr:uid="{00000000-0005-0000-0000-000085020000}"/>
    <cellStyle name="Euro 20 3 4" xfId="4002" xr:uid="{00000000-0005-0000-0000-000086020000}"/>
    <cellStyle name="Euro 20 4" xfId="127" xr:uid="{00000000-0005-0000-0000-000087020000}"/>
    <cellStyle name="Euro 20 4 2" xfId="2051" xr:uid="{00000000-0005-0000-0000-000088020000}"/>
    <cellStyle name="Euro 20 4 2 2" xfId="4005" xr:uid="{00000000-0005-0000-0000-000089020000}"/>
    <cellStyle name="Euro 20 4 3" xfId="4004" xr:uid="{00000000-0005-0000-0000-00008A020000}"/>
    <cellStyle name="Euro 20 5" xfId="128" xr:uid="{00000000-0005-0000-0000-00008B020000}"/>
    <cellStyle name="Euro 20 6" xfId="129" xr:uid="{00000000-0005-0000-0000-00008C020000}"/>
    <cellStyle name="Euro 21" xfId="130" xr:uid="{00000000-0005-0000-0000-00008D020000}"/>
    <cellStyle name="Euro 21 2" xfId="131" xr:uid="{00000000-0005-0000-0000-00008E020000}"/>
    <cellStyle name="Euro 21 2 2" xfId="4006" xr:uid="{00000000-0005-0000-0000-00008F020000}"/>
    <cellStyle name="Euro 21 3" xfId="132" xr:uid="{00000000-0005-0000-0000-000090020000}"/>
    <cellStyle name="Euro 21 3 2" xfId="133" xr:uid="{00000000-0005-0000-0000-000091020000}"/>
    <cellStyle name="Euro 21 3 2 2" xfId="2053" xr:uid="{00000000-0005-0000-0000-000092020000}"/>
    <cellStyle name="Euro 21 3 2 3" xfId="2052" xr:uid="{00000000-0005-0000-0000-000093020000}"/>
    <cellStyle name="Euro 21 3 3" xfId="3334" xr:uid="{00000000-0005-0000-0000-000094020000}"/>
    <cellStyle name="Euro 21 3 3 2" xfId="4008" xr:uid="{00000000-0005-0000-0000-000095020000}"/>
    <cellStyle name="Euro 21 3 4" xfId="4007" xr:uid="{00000000-0005-0000-0000-000096020000}"/>
    <cellStyle name="Euro 21 4" xfId="134" xr:uid="{00000000-0005-0000-0000-000097020000}"/>
    <cellStyle name="Euro 21 4 2" xfId="2054" xr:uid="{00000000-0005-0000-0000-000098020000}"/>
    <cellStyle name="Euro 21 4 2 2" xfId="4010" xr:uid="{00000000-0005-0000-0000-000099020000}"/>
    <cellStyle name="Euro 21 4 3" xfId="4009" xr:uid="{00000000-0005-0000-0000-00009A020000}"/>
    <cellStyle name="Euro 21 5" xfId="135" xr:uid="{00000000-0005-0000-0000-00009B020000}"/>
    <cellStyle name="Euro 21 6" xfId="136" xr:uid="{00000000-0005-0000-0000-00009C020000}"/>
    <cellStyle name="Euro 22" xfId="137" xr:uid="{00000000-0005-0000-0000-00009D020000}"/>
    <cellStyle name="Euro 22 2" xfId="138" xr:uid="{00000000-0005-0000-0000-00009E020000}"/>
    <cellStyle name="Euro 22 2 2" xfId="4011" xr:uid="{00000000-0005-0000-0000-00009F020000}"/>
    <cellStyle name="Euro 22 3" xfId="139" xr:uid="{00000000-0005-0000-0000-0000A0020000}"/>
    <cellStyle name="Euro 22 3 2" xfId="140" xr:uid="{00000000-0005-0000-0000-0000A1020000}"/>
    <cellStyle name="Euro 22 3 2 2" xfId="2056" xr:uid="{00000000-0005-0000-0000-0000A2020000}"/>
    <cellStyle name="Euro 22 3 2 3" xfId="2055" xr:uid="{00000000-0005-0000-0000-0000A3020000}"/>
    <cellStyle name="Euro 22 3 3" xfId="3335" xr:uid="{00000000-0005-0000-0000-0000A4020000}"/>
    <cellStyle name="Euro 22 3 3 2" xfId="4013" xr:uid="{00000000-0005-0000-0000-0000A5020000}"/>
    <cellStyle name="Euro 22 3 4" xfId="4012" xr:uid="{00000000-0005-0000-0000-0000A6020000}"/>
    <cellStyle name="Euro 22 4" xfId="141" xr:uid="{00000000-0005-0000-0000-0000A7020000}"/>
    <cellStyle name="Euro 22 4 2" xfId="2057" xr:uid="{00000000-0005-0000-0000-0000A8020000}"/>
    <cellStyle name="Euro 22 4 2 2" xfId="4015" xr:uid="{00000000-0005-0000-0000-0000A9020000}"/>
    <cellStyle name="Euro 22 4 3" xfId="4014" xr:uid="{00000000-0005-0000-0000-0000AA020000}"/>
    <cellStyle name="Euro 22 5" xfId="142" xr:uid="{00000000-0005-0000-0000-0000AB020000}"/>
    <cellStyle name="Euro 22 6" xfId="143" xr:uid="{00000000-0005-0000-0000-0000AC020000}"/>
    <cellStyle name="Euro 23" xfId="144" xr:uid="{00000000-0005-0000-0000-0000AD020000}"/>
    <cellStyle name="Euro 23 2" xfId="145" xr:uid="{00000000-0005-0000-0000-0000AE020000}"/>
    <cellStyle name="Euro 23 2 2" xfId="4016" xr:uid="{00000000-0005-0000-0000-0000AF020000}"/>
    <cellStyle name="Euro 23 3" xfId="146" xr:uid="{00000000-0005-0000-0000-0000B0020000}"/>
    <cellStyle name="Euro 23 3 2" xfId="147" xr:uid="{00000000-0005-0000-0000-0000B1020000}"/>
    <cellStyle name="Euro 23 3 2 2" xfId="2059" xr:uid="{00000000-0005-0000-0000-0000B2020000}"/>
    <cellStyle name="Euro 23 3 2 3" xfId="2058" xr:uid="{00000000-0005-0000-0000-0000B3020000}"/>
    <cellStyle name="Euro 23 3 3" xfId="3336" xr:uid="{00000000-0005-0000-0000-0000B4020000}"/>
    <cellStyle name="Euro 23 3 3 2" xfId="4018" xr:uid="{00000000-0005-0000-0000-0000B5020000}"/>
    <cellStyle name="Euro 23 3 4" xfId="4017" xr:uid="{00000000-0005-0000-0000-0000B6020000}"/>
    <cellStyle name="Euro 23 4" xfId="148" xr:uid="{00000000-0005-0000-0000-0000B7020000}"/>
    <cellStyle name="Euro 23 4 2" xfId="2060" xr:uid="{00000000-0005-0000-0000-0000B8020000}"/>
    <cellStyle name="Euro 23 4 2 2" xfId="4020" xr:uid="{00000000-0005-0000-0000-0000B9020000}"/>
    <cellStyle name="Euro 23 4 3" xfId="4019" xr:uid="{00000000-0005-0000-0000-0000BA020000}"/>
    <cellStyle name="Euro 23 5" xfId="149" xr:uid="{00000000-0005-0000-0000-0000BB020000}"/>
    <cellStyle name="Euro 23 6" xfId="150" xr:uid="{00000000-0005-0000-0000-0000BC020000}"/>
    <cellStyle name="Euro 24" xfId="151" xr:uid="{00000000-0005-0000-0000-0000BD020000}"/>
    <cellStyle name="Euro 24 2" xfId="152" xr:uid="{00000000-0005-0000-0000-0000BE020000}"/>
    <cellStyle name="Euro 24 2 2" xfId="4021" xr:uid="{00000000-0005-0000-0000-0000BF020000}"/>
    <cellStyle name="Euro 24 3" xfId="153" xr:uid="{00000000-0005-0000-0000-0000C0020000}"/>
    <cellStyle name="Euro 24 3 2" xfId="154" xr:uid="{00000000-0005-0000-0000-0000C1020000}"/>
    <cellStyle name="Euro 24 3 2 2" xfId="2062" xr:uid="{00000000-0005-0000-0000-0000C2020000}"/>
    <cellStyle name="Euro 24 3 2 3" xfId="2061" xr:uid="{00000000-0005-0000-0000-0000C3020000}"/>
    <cellStyle name="Euro 24 3 3" xfId="3337" xr:uid="{00000000-0005-0000-0000-0000C4020000}"/>
    <cellStyle name="Euro 24 3 3 2" xfId="4023" xr:uid="{00000000-0005-0000-0000-0000C5020000}"/>
    <cellStyle name="Euro 24 3 4" xfId="4022" xr:uid="{00000000-0005-0000-0000-0000C6020000}"/>
    <cellStyle name="Euro 24 4" xfId="155" xr:uid="{00000000-0005-0000-0000-0000C7020000}"/>
    <cellStyle name="Euro 24 4 2" xfId="2063" xr:uid="{00000000-0005-0000-0000-0000C8020000}"/>
    <cellStyle name="Euro 24 4 2 2" xfId="4025" xr:uid="{00000000-0005-0000-0000-0000C9020000}"/>
    <cellStyle name="Euro 24 4 3" xfId="4024" xr:uid="{00000000-0005-0000-0000-0000CA020000}"/>
    <cellStyle name="Euro 24 5" xfId="156" xr:uid="{00000000-0005-0000-0000-0000CB020000}"/>
    <cellStyle name="Euro 24 6" xfId="157" xr:uid="{00000000-0005-0000-0000-0000CC020000}"/>
    <cellStyle name="Euro 25" xfId="158" xr:uid="{00000000-0005-0000-0000-0000CD020000}"/>
    <cellStyle name="Euro 25 2" xfId="159" xr:uid="{00000000-0005-0000-0000-0000CE020000}"/>
    <cellStyle name="Euro 25 2 2" xfId="4026" xr:uid="{00000000-0005-0000-0000-0000CF020000}"/>
    <cellStyle name="Euro 25 3" xfId="160" xr:uid="{00000000-0005-0000-0000-0000D0020000}"/>
    <cellStyle name="Euro 25 3 2" xfId="161" xr:uid="{00000000-0005-0000-0000-0000D1020000}"/>
    <cellStyle name="Euro 25 3 2 2" xfId="2065" xr:uid="{00000000-0005-0000-0000-0000D2020000}"/>
    <cellStyle name="Euro 25 3 2 3" xfId="2064" xr:uid="{00000000-0005-0000-0000-0000D3020000}"/>
    <cellStyle name="Euro 25 3 3" xfId="3338" xr:uid="{00000000-0005-0000-0000-0000D4020000}"/>
    <cellStyle name="Euro 25 3 3 2" xfId="4028" xr:uid="{00000000-0005-0000-0000-0000D5020000}"/>
    <cellStyle name="Euro 25 3 4" xfId="4027" xr:uid="{00000000-0005-0000-0000-0000D6020000}"/>
    <cellStyle name="Euro 25 4" xfId="162" xr:uid="{00000000-0005-0000-0000-0000D7020000}"/>
    <cellStyle name="Euro 25 4 2" xfId="2066" xr:uid="{00000000-0005-0000-0000-0000D8020000}"/>
    <cellStyle name="Euro 25 4 2 2" xfId="4030" xr:uid="{00000000-0005-0000-0000-0000D9020000}"/>
    <cellStyle name="Euro 25 4 3" xfId="4029" xr:uid="{00000000-0005-0000-0000-0000DA020000}"/>
    <cellStyle name="Euro 25 5" xfId="163" xr:uid="{00000000-0005-0000-0000-0000DB020000}"/>
    <cellStyle name="Euro 25 6" xfId="164" xr:uid="{00000000-0005-0000-0000-0000DC020000}"/>
    <cellStyle name="Euro 26" xfId="165" xr:uid="{00000000-0005-0000-0000-0000DD020000}"/>
    <cellStyle name="Euro 26 2" xfId="166" xr:uid="{00000000-0005-0000-0000-0000DE020000}"/>
    <cellStyle name="Euro 26 2 2" xfId="4031" xr:uid="{00000000-0005-0000-0000-0000DF020000}"/>
    <cellStyle name="Euro 26 3" xfId="167" xr:uid="{00000000-0005-0000-0000-0000E0020000}"/>
    <cellStyle name="Euro 26 3 2" xfId="168" xr:uid="{00000000-0005-0000-0000-0000E1020000}"/>
    <cellStyle name="Euro 26 3 2 2" xfId="2068" xr:uid="{00000000-0005-0000-0000-0000E2020000}"/>
    <cellStyle name="Euro 26 3 2 3" xfId="2067" xr:uid="{00000000-0005-0000-0000-0000E3020000}"/>
    <cellStyle name="Euro 26 3 3" xfId="3339" xr:uid="{00000000-0005-0000-0000-0000E4020000}"/>
    <cellStyle name="Euro 26 3 3 2" xfId="4033" xr:uid="{00000000-0005-0000-0000-0000E5020000}"/>
    <cellStyle name="Euro 26 3 4" xfId="4032" xr:uid="{00000000-0005-0000-0000-0000E6020000}"/>
    <cellStyle name="Euro 26 4" xfId="169" xr:uid="{00000000-0005-0000-0000-0000E7020000}"/>
    <cellStyle name="Euro 26 4 2" xfId="2069" xr:uid="{00000000-0005-0000-0000-0000E8020000}"/>
    <cellStyle name="Euro 26 4 2 2" xfId="4035" xr:uid="{00000000-0005-0000-0000-0000E9020000}"/>
    <cellStyle name="Euro 26 4 3" xfId="4034" xr:uid="{00000000-0005-0000-0000-0000EA020000}"/>
    <cellStyle name="Euro 26 5" xfId="170" xr:uid="{00000000-0005-0000-0000-0000EB020000}"/>
    <cellStyle name="Euro 26 6" xfId="171" xr:uid="{00000000-0005-0000-0000-0000EC020000}"/>
    <cellStyle name="Euro 27" xfId="172" xr:uid="{00000000-0005-0000-0000-0000ED020000}"/>
    <cellStyle name="Euro 27 2" xfId="173" xr:uid="{00000000-0005-0000-0000-0000EE020000}"/>
    <cellStyle name="Euro 27 2 2" xfId="4036" xr:uid="{00000000-0005-0000-0000-0000EF020000}"/>
    <cellStyle name="Euro 27 3" xfId="174" xr:uid="{00000000-0005-0000-0000-0000F0020000}"/>
    <cellStyle name="Euro 27 3 2" xfId="175" xr:uid="{00000000-0005-0000-0000-0000F1020000}"/>
    <cellStyle name="Euro 27 3 2 2" xfId="2071" xr:uid="{00000000-0005-0000-0000-0000F2020000}"/>
    <cellStyle name="Euro 27 3 2 3" xfId="2070" xr:uid="{00000000-0005-0000-0000-0000F3020000}"/>
    <cellStyle name="Euro 27 3 3" xfId="3340" xr:uid="{00000000-0005-0000-0000-0000F4020000}"/>
    <cellStyle name="Euro 27 3 3 2" xfId="4038" xr:uid="{00000000-0005-0000-0000-0000F5020000}"/>
    <cellStyle name="Euro 27 3 4" xfId="4037" xr:uid="{00000000-0005-0000-0000-0000F6020000}"/>
    <cellStyle name="Euro 27 4" xfId="176" xr:uid="{00000000-0005-0000-0000-0000F7020000}"/>
    <cellStyle name="Euro 27 4 2" xfId="2072" xr:uid="{00000000-0005-0000-0000-0000F8020000}"/>
    <cellStyle name="Euro 27 4 2 2" xfId="4040" xr:uid="{00000000-0005-0000-0000-0000F9020000}"/>
    <cellStyle name="Euro 27 4 3" xfId="4039" xr:uid="{00000000-0005-0000-0000-0000FA020000}"/>
    <cellStyle name="Euro 27 5" xfId="177" xr:uid="{00000000-0005-0000-0000-0000FB020000}"/>
    <cellStyle name="Euro 27 6" xfId="178" xr:uid="{00000000-0005-0000-0000-0000FC020000}"/>
    <cellStyle name="Euro 28" xfId="179" xr:uid="{00000000-0005-0000-0000-0000FD020000}"/>
    <cellStyle name="Euro 28 2" xfId="180" xr:uid="{00000000-0005-0000-0000-0000FE020000}"/>
    <cellStyle name="Euro 28 2 2" xfId="4041" xr:uid="{00000000-0005-0000-0000-0000FF020000}"/>
    <cellStyle name="Euro 28 3" xfId="181" xr:uid="{00000000-0005-0000-0000-000000030000}"/>
    <cellStyle name="Euro 28 3 2" xfId="182" xr:uid="{00000000-0005-0000-0000-000001030000}"/>
    <cellStyle name="Euro 28 3 2 2" xfId="2074" xr:uid="{00000000-0005-0000-0000-000002030000}"/>
    <cellStyle name="Euro 28 3 2 3" xfId="2073" xr:uid="{00000000-0005-0000-0000-000003030000}"/>
    <cellStyle name="Euro 28 3 3" xfId="3341" xr:uid="{00000000-0005-0000-0000-000004030000}"/>
    <cellStyle name="Euro 28 3 3 2" xfId="4043" xr:uid="{00000000-0005-0000-0000-000005030000}"/>
    <cellStyle name="Euro 28 3 4" xfId="4042" xr:uid="{00000000-0005-0000-0000-000006030000}"/>
    <cellStyle name="Euro 28 4" xfId="183" xr:uid="{00000000-0005-0000-0000-000007030000}"/>
    <cellStyle name="Euro 28 4 2" xfId="2075" xr:uid="{00000000-0005-0000-0000-000008030000}"/>
    <cellStyle name="Euro 28 4 2 2" xfId="4045" xr:uid="{00000000-0005-0000-0000-000009030000}"/>
    <cellStyle name="Euro 28 4 3" xfId="4044" xr:uid="{00000000-0005-0000-0000-00000A030000}"/>
    <cellStyle name="Euro 28 5" xfId="184" xr:uid="{00000000-0005-0000-0000-00000B030000}"/>
    <cellStyle name="Euro 28 6" xfId="185" xr:uid="{00000000-0005-0000-0000-00000C030000}"/>
    <cellStyle name="Euro 29" xfId="186" xr:uid="{00000000-0005-0000-0000-00000D030000}"/>
    <cellStyle name="Euro 29 2" xfId="187" xr:uid="{00000000-0005-0000-0000-00000E030000}"/>
    <cellStyle name="Euro 29 2 2" xfId="4046" xr:uid="{00000000-0005-0000-0000-00000F030000}"/>
    <cellStyle name="Euro 29 3" xfId="188" xr:uid="{00000000-0005-0000-0000-000010030000}"/>
    <cellStyle name="Euro 29 3 2" xfId="189" xr:uid="{00000000-0005-0000-0000-000011030000}"/>
    <cellStyle name="Euro 29 3 2 2" xfId="2077" xr:uid="{00000000-0005-0000-0000-000012030000}"/>
    <cellStyle name="Euro 29 3 2 3" xfId="2076" xr:uid="{00000000-0005-0000-0000-000013030000}"/>
    <cellStyle name="Euro 29 3 3" xfId="3342" xr:uid="{00000000-0005-0000-0000-000014030000}"/>
    <cellStyle name="Euro 29 3 3 2" xfId="4048" xr:uid="{00000000-0005-0000-0000-000015030000}"/>
    <cellStyle name="Euro 29 3 4" xfId="4047" xr:uid="{00000000-0005-0000-0000-000016030000}"/>
    <cellStyle name="Euro 29 4" xfId="190" xr:uid="{00000000-0005-0000-0000-000017030000}"/>
    <cellStyle name="Euro 29 4 2" xfId="2078" xr:uid="{00000000-0005-0000-0000-000018030000}"/>
    <cellStyle name="Euro 29 4 2 2" xfId="4050" xr:uid="{00000000-0005-0000-0000-000019030000}"/>
    <cellStyle name="Euro 29 4 3" xfId="4049" xr:uid="{00000000-0005-0000-0000-00001A030000}"/>
    <cellStyle name="Euro 29 5" xfId="191" xr:uid="{00000000-0005-0000-0000-00001B030000}"/>
    <cellStyle name="Euro 29 6" xfId="192" xr:uid="{00000000-0005-0000-0000-00001C030000}"/>
    <cellStyle name="Euro 3" xfId="193" xr:uid="{00000000-0005-0000-0000-00001D030000}"/>
    <cellStyle name="Euro 3 2" xfId="194" xr:uid="{00000000-0005-0000-0000-00001E030000}"/>
    <cellStyle name="Euro 3 2 2" xfId="4051" xr:uid="{00000000-0005-0000-0000-00001F030000}"/>
    <cellStyle name="Euro 3 3" xfId="195" xr:uid="{00000000-0005-0000-0000-000020030000}"/>
    <cellStyle name="Euro 3 3 2" xfId="196" xr:uid="{00000000-0005-0000-0000-000021030000}"/>
    <cellStyle name="Euro 3 3 2 2" xfId="2080" xr:uid="{00000000-0005-0000-0000-000022030000}"/>
    <cellStyle name="Euro 3 3 2 3" xfId="2079" xr:uid="{00000000-0005-0000-0000-000023030000}"/>
    <cellStyle name="Euro 3 3 3" xfId="3343" xr:uid="{00000000-0005-0000-0000-000024030000}"/>
    <cellStyle name="Euro 3 3 3 2" xfId="4053" xr:uid="{00000000-0005-0000-0000-000025030000}"/>
    <cellStyle name="Euro 3 3 4" xfId="4052" xr:uid="{00000000-0005-0000-0000-000026030000}"/>
    <cellStyle name="Euro 3 4" xfId="197" xr:uid="{00000000-0005-0000-0000-000027030000}"/>
    <cellStyle name="Euro 3 4 2" xfId="2081" xr:uid="{00000000-0005-0000-0000-000028030000}"/>
    <cellStyle name="Euro 3 4 2 2" xfId="4055" xr:uid="{00000000-0005-0000-0000-000029030000}"/>
    <cellStyle name="Euro 3 4 3" xfId="4054" xr:uid="{00000000-0005-0000-0000-00002A030000}"/>
    <cellStyle name="Euro 3 5" xfId="198" xr:uid="{00000000-0005-0000-0000-00002B030000}"/>
    <cellStyle name="Euro 3 6" xfId="199" xr:uid="{00000000-0005-0000-0000-00002C030000}"/>
    <cellStyle name="Euro 30" xfId="200" xr:uid="{00000000-0005-0000-0000-00002D030000}"/>
    <cellStyle name="Euro 30 2" xfId="201" xr:uid="{00000000-0005-0000-0000-00002E030000}"/>
    <cellStyle name="Euro 30 2 2" xfId="4056" xr:uid="{00000000-0005-0000-0000-00002F030000}"/>
    <cellStyle name="Euro 30 3" xfId="202" xr:uid="{00000000-0005-0000-0000-000030030000}"/>
    <cellStyle name="Euro 30 3 2" xfId="203" xr:uid="{00000000-0005-0000-0000-000031030000}"/>
    <cellStyle name="Euro 30 3 2 2" xfId="2083" xr:uid="{00000000-0005-0000-0000-000032030000}"/>
    <cellStyle name="Euro 30 3 2 3" xfId="2082" xr:uid="{00000000-0005-0000-0000-000033030000}"/>
    <cellStyle name="Euro 30 3 3" xfId="3344" xr:uid="{00000000-0005-0000-0000-000034030000}"/>
    <cellStyle name="Euro 30 3 3 2" xfId="4058" xr:uid="{00000000-0005-0000-0000-000035030000}"/>
    <cellStyle name="Euro 30 3 4" xfId="4057" xr:uid="{00000000-0005-0000-0000-000036030000}"/>
    <cellStyle name="Euro 30 4" xfId="204" xr:uid="{00000000-0005-0000-0000-000037030000}"/>
    <cellStyle name="Euro 30 4 2" xfId="2084" xr:uid="{00000000-0005-0000-0000-000038030000}"/>
    <cellStyle name="Euro 30 4 2 2" xfId="4060" xr:uid="{00000000-0005-0000-0000-000039030000}"/>
    <cellStyle name="Euro 30 4 3" xfId="4059" xr:uid="{00000000-0005-0000-0000-00003A030000}"/>
    <cellStyle name="Euro 30 5" xfId="205" xr:uid="{00000000-0005-0000-0000-00003B030000}"/>
    <cellStyle name="Euro 30 6" xfId="206" xr:uid="{00000000-0005-0000-0000-00003C030000}"/>
    <cellStyle name="Euro 31" xfId="207" xr:uid="{00000000-0005-0000-0000-00003D030000}"/>
    <cellStyle name="Euro 31 2" xfId="208" xr:uid="{00000000-0005-0000-0000-00003E030000}"/>
    <cellStyle name="Euro 31 2 2" xfId="4061" xr:uid="{00000000-0005-0000-0000-00003F030000}"/>
    <cellStyle name="Euro 31 3" xfId="209" xr:uid="{00000000-0005-0000-0000-000040030000}"/>
    <cellStyle name="Euro 31 3 2" xfId="210" xr:uid="{00000000-0005-0000-0000-000041030000}"/>
    <cellStyle name="Euro 31 3 2 2" xfId="2086" xr:uid="{00000000-0005-0000-0000-000042030000}"/>
    <cellStyle name="Euro 31 3 2 3" xfId="2085" xr:uid="{00000000-0005-0000-0000-000043030000}"/>
    <cellStyle name="Euro 31 3 3" xfId="3345" xr:uid="{00000000-0005-0000-0000-000044030000}"/>
    <cellStyle name="Euro 31 3 3 2" xfId="4063" xr:uid="{00000000-0005-0000-0000-000045030000}"/>
    <cellStyle name="Euro 31 3 4" xfId="4062" xr:uid="{00000000-0005-0000-0000-000046030000}"/>
    <cellStyle name="Euro 31 4" xfId="211" xr:uid="{00000000-0005-0000-0000-000047030000}"/>
    <cellStyle name="Euro 31 4 2" xfId="2087" xr:uid="{00000000-0005-0000-0000-000048030000}"/>
    <cellStyle name="Euro 31 4 2 2" xfId="4065" xr:uid="{00000000-0005-0000-0000-000049030000}"/>
    <cellStyle name="Euro 31 4 3" xfId="4064" xr:uid="{00000000-0005-0000-0000-00004A030000}"/>
    <cellStyle name="Euro 31 5" xfId="212" xr:uid="{00000000-0005-0000-0000-00004B030000}"/>
    <cellStyle name="Euro 31 6" xfId="213" xr:uid="{00000000-0005-0000-0000-00004C030000}"/>
    <cellStyle name="Euro 32" xfId="214" xr:uid="{00000000-0005-0000-0000-00004D030000}"/>
    <cellStyle name="Euro 32 2" xfId="215" xr:uid="{00000000-0005-0000-0000-00004E030000}"/>
    <cellStyle name="Euro 32 2 2" xfId="4066" xr:uid="{00000000-0005-0000-0000-00004F030000}"/>
    <cellStyle name="Euro 32 3" xfId="216" xr:uid="{00000000-0005-0000-0000-000050030000}"/>
    <cellStyle name="Euro 32 3 2" xfId="217" xr:uid="{00000000-0005-0000-0000-000051030000}"/>
    <cellStyle name="Euro 32 3 2 2" xfId="2089" xr:uid="{00000000-0005-0000-0000-000052030000}"/>
    <cellStyle name="Euro 32 3 2 3" xfId="2088" xr:uid="{00000000-0005-0000-0000-000053030000}"/>
    <cellStyle name="Euro 32 3 3" xfId="3346" xr:uid="{00000000-0005-0000-0000-000054030000}"/>
    <cellStyle name="Euro 32 3 3 2" xfId="4068" xr:uid="{00000000-0005-0000-0000-000055030000}"/>
    <cellStyle name="Euro 32 3 4" xfId="4067" xr:uid="{00000000-0005-0000-0000-000056030000}"/>
    <cellStyle name="Euro 32 4" xfId="218" xr:uid="{00000000-0005-0000-0000-000057030000}"/>
    <cellStyle name="Euro 32 4 2" xfId="2090" xr:uid="{00000000-0005-0000-0000-000058030000}"/>
    <cellStyle name="Euro 32 4 2 2" xfId="4070" xr:uid="{00000000-0005-0000-0000-000059030000}"/>
    <cellStyle name="Euro 32 4 3" xfId="4069" xr:uid="{00000000-0005-0000-0000-00005A030000}"/>
    <cellStyle name="Euro 32 5" xfId="219" xr:uid="{00000000-0005-0000-0000-00005B030000}"/>
    <cellStyle name="Euro 32 6" xfId="220" xr:uid="{00000000-0005-0000-0000-00005C030000}"/>
    <cellStyle name="Euro 33" xfId="221" xr:uid="{00000000-0005-0000-0000-00005D030000}"/>
    <cellStyle name="Euro 33 2" xfId="222" xr:uid="{00000000-0005-0000-0000-00005E030000}"/>
    <cellStyle name="Euro 33 2 2" xfId="4071" xr:uid="{00000000-0005-0000-0000-00005F030000}"/>
    <cellStyle name="Euro 33 3" xfId="223" xr:uid="{00000000-0005-0000-0000-000060030000}"/>
    <cellStyle name="Euro 33 3 2" xfId="224" xr:uid="{00000000-0005-0000-0000-000061030000}"/>
    <cellStyle name="Euro 33 3 2 2" xfId="2092" xr:uid="{00000000-0005-0000-0000-000062030000}"/>
    <cellStyle name="Euro 33 3 2 3" xfId="2091" xr:uid="{00000000-0005-0000-0000-000063030000}"/>
    <cellStyle name="Euro 33 3 3" xfId="3347" xr:uid="{00000000-0005-0000-0000-000064030000}"/>
    <cellStyle name="Euro 33 3 3 2" xfId="4073" xr:uid="{00000000-0005-0000-0000-000065030000}"/>
    <cellStyle name="Euro 33 3 4" xfId="4072" xr:uid="{00000000-0005-0000-0000-000066030000}"/>
    <cellStyle name="Euro 33 4" xfId="225" xr:uid="{00000000-0005-0000-0000-000067030000}"/>
    <cellStyle name="Euro 33 4 2" xfId="2093" xr:uid="{00000000-0005-0000-0000-000068030000}"/>
    <cellStyle name="Euro 33 4 2 2" xfId="4075" xr:uid="{00000000-0005-0000-0000-000069030000}"/>
    <cellStyle name="Euro 33 4 3" xfId="4074" xr:uid="{00000000-0005-0000-0000-00006A030000}"/>
    <cellStyle name="Euro 33 5" xfId="226" xr:uid="{00000000-0005-0000-0000-00006B030000}"/>
    <cellStyle name="Euro 33 6" xfId="227" xr:uid="{00000000-0005-0000-0000-00006C030000}"/>
    <cellStyle name="Euro 34" xfId="228" xr:uid="{00000000-0005-0000-0000-00006D030000}"/>
    <cellStyle name="Euro 34 2" xfId="229" xr:uid="{00000000-0005-0000-0000-00006E030000}"/>
    <cellStyle name="Euro 34 2 2" xfId="4076" xr:uid="{00000000-0005-0000-0000-00006F030000}"/>
    <cellStyle name="Euro 34 3" xfId="230" xr:uid="{00000000-0005-0000-0000-000070030000}"/>
    <cellStyle name="Euro 34 3 2" xfId="231" xr:uid="{00000000-0005-0000-0000-000071030000}"/>
    <cellStyle name="Euro 34 3 2 2" xfId="2095" xr:uid="{00000000-0005-0000-0000-000072030000}"/>
    <cellStyle name="Euro 34 3 2 3" xfId="2094" xr:uid="{00000000-0005-0000-0000-000073030000}"/>
    <cellStyle name="Euro 34 3 3" xfId="3348" xr:uid="{00000000-0005-0000-0000-000074030000}"/>
    <cellStyle name="Euro 34 3 3 2" xfId="4078" xr:uid="{00000000-0005-0000-0000-000075030000}"/>
    <cellStyle name="Euro 34 3 4" xfId="4077" xr:uid="{00000000-0005-0000-0000-000076030000}"/>
    <cellStyle name="Euro 34 4" xfId="232" xr:uid="{00000000-0005-0000-0000-000077030000}"/>
    <cellStyle name="Euro 34 4 2" xfId="2096" xr:uid="{00000000-0005-0000-0000-000078030000}"/>
    <cellStyle name="Euro 34 4 2 2" xfId="4080" xr:uid="{00000000-0005-0000-0000-000079030000}"/>
    <cellStyle name="Euro 34 4 3" xfId="4079" xr:uid="{00000000-0005-0000-0000-00007A030000}"/>
    <cellStyle name="Euro 34 5" xfId="233" xr:uid="{00000000-0005-0000-0000-00007B030000}"/>
    <cellStyle name="Euro 34 6" xfId="234" xr:uid="{00000000-0005-0000-0000-00007C030000}"/>
    <cellStyle name="Euro 35" xfId="235" xr:uid="{00000000-0005-0000-0000-00007D030000}"/>
    <cellStyle name="Euro 35 2" xfId="236" xr:uid="{00000000-0005-0000-0000-00007E030000}"/>
    <cellStyle name="Euro 35 2 2" xfId="4081" xr:uid="{00000000-0005-0000-0000-00007F030000}"/>
    <cellStyle name="Euro 35 3" xfId="237" xr:uid="{00000000-0005-0000-0000-000080030000}"/>
    <cellStyle name="Euro 35 3 2" xfId="238" xr:uid="{00000000-0005-0000-0000-000081030000}"/>
    <cellStyle name="Euro 35 3 2 2" xfId="2098" xr:uid="{00000000-0005-0000-0000-000082030000}"/>
    <cellStyle name="Euro 35 3 2 3" xfId="2097" xr:uid="{00000000-0005-0000-0000-000083030000}"/>
    <cellStyle name="Euro 35 3 3" xfId="3349" xr:uid="{00000000-0005-0000-0000-000084030000}"/>
    <cellStyle name="Euro 35 3 3 2" xfId="4083" xr:uid="{00000000-0005-0000-0000-000085030000}"/>
    <cellStyle name="Euro 35 3 4" xfId="4082" xr:uid="{00000000-0005-0000-0000-000086030000}"/>
    <cellStyle name="Euro 35 4" xfId="239" xr:uid="{00000000-0005-0000-0000-000087030000}"/>
    <cellStyle name="Euro 35 4 2" xfId="2099" xr:uid="{00000000-0005-0000-0000-000088030000}"/>
    <cellStyle name="Euro 35 4 2 2" xfId="4085" xr:uid="{00000000-0005-0000-0000-000089030000}"/>
    <cellStyle name="Euro 35 4 3" xfId="4084" xr:uid="{00000000-0005-0000-0000-00008A030000}"/>
    <cellStyle name="Euro 35 5" xfId="240" xr:uid="{00000000-0005-0000-0000-00008B030000}"/>
    <cellStyle name="Euro 35 6" xfId="241" xr:uid="{00000000-0005-0000-0000-00008C030000}"/>
    <cellStyle name="Euro 36" xfId="242" xr:uid="{00000000-0005-0000-0000-00008D030000}"/>
    <cellStyle name="Euro 36 2" xfId="243" xr:uid="{00000000-0005-0000-0000-00008E030000}"/>
    <cellStyle name="Euro 36 2 2" xfId="4086" xr:uid="{00000000-0005-0000-0000-00008F030000}"/>
    <cellStyle name="Euro 36 3" xfId="244" xr:uid="{00000000-0005-0000-0000-000090030000}"/>
    <cellStyle name="Euro 36 3 2" xfId="245" xr:uid="{00000000-0005-0000-0000-000091030000}"/>
    <cellStyle name="Euro 36 3 2 2" xfId="2101" xr:uid="{00000000-0005-0000-0000-000092030000}"/>
    <cellStyle name="Euro 36 3 2 3" xfId="2100" xr:uid="{00000000-0005-0000-0000-000093030000}"/>
    <cellStyle name="Euro 36 3 3" xfId="3350" xr:uid="{00000000-0005-0000-0000-000094030000}"/>
    <cellStyle name="Euro 36 3 3 2" xfId="4088" xr:uid="{00000000-0005-0000-0000-000095030000}"/>
    <cellStyle name="Euro 36 3 4" xfId="4087" xr:uid="{00000000-0005-0000-0000-000096030000}"/>
    <cellStyle name="Euro 36 4" xfId="246" xr:uid="{00000000-0005-0000-0000-000097030000}"/>
    <cellStyle name="Euro 36 4 2" xfId="2102" xr:uid="{00000000-0005-0000-0000-000098030000}"/>
    <cellStyle name="Euro 36 4 2 2" xfId="4090" xr:uid="{00000000-0005-0000-0000-000099030000}"/>
    <cellStyle name="Euro 36 4 3" xfId="4089" xr:uid="{00000000-0005-0000-0000-00009A030000}"/>
    <cellStyle name="Euro 36 5" xfId="247" xr:uid="{00000000-0005-0000-0000-00009B030000}"/>
    <cellStyle name="Euro 36 6" xfId="248" xr:uid="{00000000-0005-0000-0000-00009C030000}"/>
    <cellStyle name="Euro 37" xfId="249" xr:uid="{00000000-0005-0000-0000-00009D030000}"/>
    <cellStyle name="Euro 37 2" xfId="250" xr:uid="{00000000-0005-0000-0000-00009E030000}"/>
    <cellStyle name="Euro 37 2 2" xfId="4091" xr:uid="{00000000-0005-0000-0000-00009F030000}"/>
    <cellStyle name="Euro 37 3" xfId="251" xr:uid="{00000000-0005-0000-0000-0000A0030000}"/>
    <cellStyle name="Euro 37 3 2" xfId="252" xr:uid="{00000000-0005-0000-0000-0000A1030000}"/>
    <cellStyle name="Euro 37 3 2 2" xfId="2104" xr:uid="{00000000-0005-0000-0000-0000A2030000}"/>
    <cellStyle name="Euro 37 3 2 3" xfId="2103" xr:uid="{00000000-0005-0000-0000-0000A3030000}"/>
    <cellStyle name="Euro 37 3 3" xfId="3351" xr:uid="{00000000-0005-0000-0000-0000A4030000}"/>
    <cellStyle name="Euro 37 3 3 2" xfId="4093" xr:uid="{00000000-0005-0000-0000-0000A5030000}"/>
    <cellStyle name="Euro 37 3 4" xfId="4092" xr:uid="{00000000-0005-0000-0000-0000A6030000}"/>
    <cellStyle name="Euro 37 4" xfId="253" xr:uid="{00000000-0005-0000-0000-0000A7030000}"/>
    <cellStyle name="Euro 37 4 2" xfId="2105" xr:uid="{00000000-0005-0000-0000-0000A8030000}"/>
    <cellStyle name="Euro 37 4 2 2" xfId="4095" xr:uid="{00000000-0005-0000-0000-0000A9030000}"/>
    <cellStyle name="Euro 37 4 3" xfId="4094" xr:uid="{00000000-0005-0000-0000-0000AA030000}"/>
    <cellStyle name="Euro 37 5" xfId="254" xr:uid="{00000000-0005-0000-0000-0000AB030000}"/>
    <cellStyle name="Euro 37 6" xfId="255" xr:uid="{00000000-0005-0000-0000-0000AC030000}"/>
    <cellStyle name="Euro 38" xfId="256" xr:uid="{00000000-0005-0000-0000-0000AD030000}"/>
    <cellStyle name="Euro 38 2" xfId="257" xr:uid="{00000000-0005-0000-0000-0000AE030000}"/>
    <cellStyle name="Euro 38 2 2" xfId="4096" xr:uid="{00000000-0005-0000-0000-0000AF030000}"/>
    <cellStyle name="Euro 38 3" xfId="258" xr:uid="{00000000-0005-0000-0000-0000B0030000}"/>
    <cellStyle name="Euro 38 3 2" xfId="259" xr:uid="{00000000-0005-0000-0000-0000B1030000}"/>
    <cellStyle name="Euro 38 3 2 2" xfId="2107" xr:uid="{00000000-0005-0000-0000-0000B2030000}"/>
    <cellStyle name="Euro 38 3 2 3" xfId="2106" xr:uid="{00000000-0005-0000-0000-0000B3030000}"/>
    <cellStyle name="Euro 38 3 3" xfId="3352" xr:uid="{00000000-0005-0000-0000-0000B4030000}"/>
    <cellStyle name="Euro 38 3 3 2" xfId="4098" xr:uid="{00000000-0005-0000-0000-0000B5030000}"/>
    <cellStyle name="Euro 38 3 4" xfId="4097" xr:uid="{00000000-0005-0000-0000-0000B6030000}"/>
    <cellStyle name="Euro 38 4" xfId="260" xr:uid="{00000000-0005-0000-0000-0000B7030000}"/>
    <cellStyle name="Euro 38 4 2" xfId="2108" xr:uid="{00000000-0005-0000-0000-0000B8030000}"/>
    <cellStyle name="Euro 38 4 2 2" xfId="4100" xr:uid="{00000000-0005-0000-0000-0000B9030000}"/>
    <cellStyle name="Euro 38 4 3" xfId="4099" xr:uid="{00000000-0005-0000-0000-0000BA030000}"/>
    <cellStyle name="Euro 38 5" xfId="261" xr:uid="{00000000-0005-0000-0000-0000BB030000}"/>
    <cellStyle name="Euro 38 6" xfId="262" xr:uid="{00000000-0005-0000-0000-0000BC030000}"/>
    <cellStyle name="Euro 39" xfId="263" xr:uid="{00000000-0005-0000-0000-0000BD030000}"/>
    <cellStyle name="Euro 39 2" xfId="264" xr:uid="{00000000-0005-0000-0000-0000BE030000}"/>
    <cellStyle name="Euro 39 2 2" xfId="4101" xr:uid="{00000000-0005-0000-0000-0000BF030000}"/>
    <cellStyle name="Euro 39 3" xfId="265" xr:uid="{00000000-0005-0000-0000-0000C0030000}"/>
    <cellStyle name="Euro 39 3 2" xfId="266" xr:uid="{00000000-0005-0000-0000-0000C1030000}"/>
    <cellStyle name="Euro 39 3 2 2" xfId="2110" xr:uid="{00000000-0005-0000-0000-0000C2030000}"/>
    <cellStyle name="Euro 39 3 2 3" xfId="2109" xr:uid="{00000000-0005-0000-0000-0000C3030000}"/>
    <cellStyle name="Euro 39 3 3" xfId="3353" xr:uid="{00000000-0005-0000-0000-0000C4030000}"/>
    <cellStyle name="Euro 39 3 3 2" xfId="4103" xr:uid="{00000000-0005-0000-0000-0000C5030000}"/>
    <cellStyle name="Euro 39 3 4" xfId="4102" xr:uid="{00000000-0005-0000-0000-0000C6030000}"/>
    <cellStyle name="Euro 39 4" xfId="267" xr:uid="{00000000-0005-0000-0000-0000C7030000}"/>
    <cellStyle name="Euro 39 4 2" xfId="2111" xr:uid="{00000000-0005-0000-0000-0000C8030000}"/>
    <cellStyle name="Euro 39 4 2 2" xfId="4105" xr:uid="{00000000-0005-0000-0000-0000C9030000}"/>
    <cellStyle name="Euro 39 4 3" xfId="4104" xr:uid="{00000000-0005-0000-0000-0000CA030000}"/>
    <cellStyle name="Euro 39 5" xfId="268" xr:uid="{00000000-0005-0000-0000-0000CB030000}"/>
    <cellStyle name="Euro 39 6" xfId="269" xr:uid="{00000000-0005-0000-0000-0000CC030000}"/>
    <cellStyle name="Euro 4" xfId="270" xr:uid="{00000000-0005-0000-0000-0000CD030000}"/>
    <cellStyle name="Euro 4 2" xfId="271" xr:uid="{00000000-0005-0000-0000-0000CE030000}"/>
    <cellStyle name="Euro 4 2 2" xfId="4106" xr:uid="{00000000-0005-0000-0000-0000CF030000}"/>
    <cellStyle name="Euro 4 3" xfId="272" xr:uid="{00000000-0005-0000-0000-0000D0030000}"/>
    <cellStyle name="Euro 4 3 2" xfId="273" xr:uid="{00000000-0005-0000-0000-0000D1030000}"/>
    <cellStyle name="Euro 4 3 2 2" xfId="2113" xr:uid="{00000000-0005-0000-0000-0000D2030000}"/>
    <cellStyle name="Euro 4 3 2 3" xfId="2112" xr:uid="{00000000-0005-0000-0000-0000D3030000}"/>
    <cellStyle name="Euro 4 3 3" xfId="3354" xr:uid="{00000000-0005-0000-0000-0000D4030000}"/>
    <cellStyle name="Euro 4 3 3 2" xfId="4108" xr:uid="{00000000-0005-0000-0000-0000D5030000}"/>
    <cellStyle name="Euro 4 3 4" xfId="4107" xr:uid="{00000000-0005-0000-0000-0000D6030000}"/>
    <cellStyle name="Euro 4 4" xfId="274" xr:uid="{00000000-0005-0000-0000-0000D7030000}"/>
    <cellStyle name="Euro 4 4 2" xfId="2114" xr:uid="{00000000-0005-0000-0000-0000D8030000}"/>
    <cellStyle name="Euro 4 4 2 2" xfId="4110" xr:uid="{00000000-0005-0000-0000-0000D9030000}"/>
    <cellStyle name="Euro 4 4 3" xfId="4109" xr:uid="{00000000-0005-0000-0000-0000DA030000}"/>
    <cellStyle name="Euro 4 5" xfId="275" xr:uid="{00000000-0005-0000-0000-0000DB030000}"/>
    <cellStyle name="Euro 4 6" xfId="276" xr:uid="{00000000-0005-0000-0000-0000DC030000}"/>
    <cellStyle name="Euro 40" xfId="277" xr:uid="{00000000-0005-0000-0000-0000DD030000}"/>
    <cellStyle name="Euro 40 2" xfId="278" xr:uid="{00000000-0005-0000-0000-0000DE030000}"/>
    <cellStyle name="Euro 40 2 2" xfId="4111" xr:uid="{00000000-0005-0000-0000-0000DF030000}"/>
    <cellStyle name="Euro 40 3" xfId="279" xr:uid="{00000000-0005-0000-0000-0000E0030000}"/>
    <cellStyle name="Euro 40 3 2" xfId="280" xr:uid="{00000000-0005-0000-0000-0000E1030000}"/>
    <cellStyle name="Euro 40 3 2 2" xfId="2116" xr:uid="{00000000-0005-0000-0000-0000E2030000}"/>
    <cellStyle name="Euro 40 3 2 3" xfId="2115" xr:uid="{00000000-0005-0000-0000-0000E3030000}"/>
    <cellStyle name="Euro 40 3 3" xfId="3355" xr:uid="{00000000-0005-0000-0000-0000E4030000}"/>
    <cellStyle name="Euro 40 3 3 2" xfId="4113" xr:uid="{00000000-0005-0000-0000-0000E5030000}"/>
    <cellStyle name="Euro 40 3 4" xfId="4112" xr:uid="{00000000-0005-0000-0000-0000E6030000}"/>
    <cellStyle name="Euro 40 4" xfId="281" xr:uid="{00000000-0005-0000-0000-0000E7030000}"/>
    <cellStyle name="Euro 40 4 2" xfId="2117" xr:uid="{00000000-0005-0000-0000-0000E8030000}"/>
    <cellStyle name="Euro 40 4 2 2" xfId="4115" xr:uid="{00000000-0005-0000-0000-0000E9030000}"/>
    <cellStyle name="Euro 40 4 3" xfId="4114" xr:uid="{00000000-0005-0000-0000-0000EA030000}"/>
    <cellStyle name="Euro 40 5" xfId="282" xr:uid="{00000000-0005-0000-0000-0000EB030000}"/>
    <cellStyle name="Euro 40 6" xfId="283" xr:uid="{00000000-0005-0000-0000-0000EC030000}"/>
    <cellStyle name="Euro 41" xfId="284" xr:uid="{00000000-0005-0000-0000-0000ED030000}"/>
    <cellStyle name="Euro 41 2" xfId="285" xr:uid="{00000000-0005-0000-0000-0000EE030000}"/>
    <cellStyle name="Euro 41 2 2" xfId="4116" xr:uid="{00000000-0005-0000-0000-0000EF030000}"/>
    <cellStyle name="Euro 41 3" xfId="286" xr:uid="{00000000-0005-0000-0000-0000F0030000}"/>
    <cellStyle name="Euro 41 3 2" xfId="287" xr:uid="{00000000-0005-0000-0000-0000F1030000}"/>
    <cellStyle name="Euro 41 3 2 2" xfId="2119" xr:uid="{00000000-0005-0000-0000-0000F2030000}"/>
    <cellStyle name="Euro 41 3 2 3" xfId="2118" xr:uid="{00000000-0005-0000-0000-0000F3030000}"/>
    <cellStyle name="Euro 41 3 3" xfId="3356" xr:uid="{00000000-0005-0000-0000-0000F4030000}"/>
    <cellStyle name="Euro 41 3 3 2" xfId="4118" xr:uid="{00000000-0005-0000-0000-0000F5030000}"/>
    <cellStyle name="Euro 41 3 4" xfId="4117" xr:uid="{00000000-0005-0000-0000-0000F6030000}"/>
    <cellStyle name="Euro 41 4" xfId="288" xr:uid="{00000000-0005-0000-0000-0000F7030000}"/>
    <cellStyle name="Euro 41 4 2" xfId="2120" xr:uid="{00000000-0005-0000-0000-0000F8030000}"/>
    <cellStyle name="Euro 41 4 2 2" xfId="4120" xr:uid="{00000000-0005-0000-0000-0000F9030000}"/>
    <cellStyle name="Euro 41 4 3" xfId="4119" xr:uid="{00000000-0005-0000-0000-0000FA030000}"/>
    <cellStyle name="Euro 41 5" xfId="289" xr:uid="{00000000-0005-0000-0000-0000FB030000}"/>
    <cellStyle name="Euro 41 6" xfId="290" xr:uid="{00000000-0005-0000-0000-0000FC030000}"/>
    <cellStyle name="Euro 42" xfId="291" xr:uid="{00000000-0005-0000-0000-0000FD030000}"/>
    <cellStyle name="Euro 42 2" xfId="292" xr:uid="{00000000-0005-0000-0000-0000FE030000}"/>
    <cellStyle name="Euro 42 2 2" xfId="4121" xr:uid="{00000000-0005-0000-0000-0000FF030000}"/>
    <cellStyle name="Euro 42 3" xfId="293" xr:uid="{00000000-0005-0000-0000-000000040000}"/>
    <cellStyle name="Euro 42 3 2" xfId="294" xr:uid="{00000000-0005-0000-0000-000001040000}"/>
    <cellStyle name="Euro 42 3 2 2" xfId="2122" xr:uid="{00000000-0005-0000-0000-000002040000}"/>
    <cellStyle name="Euro 42 3 2 3" xfId="2121" xr:uid="{00000000-0005-0000-0000-000003040000}"/>
    <cellStyle name="Euro 42 3 3" xfId="3357" xr:uid="{00000000-0005-0000-0000-000004040000}"/>
    <cellStyle name="Euro 42 3 3 2" xfId="4123" xr:uid="{00000000-0005-0000-0000-000005040000}"/>
    <cellStyle name="Euro 42 3 4" xfId="4122" xr:uid="{00000000-0005-0000-0000-000006040000}"/>
    <cellStyle name="Euro 42 4" xfId="295" xr:uid="{00000000-0005-0000-0000-000007040000}"/>
    <cellStyle name="Euro 42 4 2" xfId="2123" xr:uid="{00000000-0005-0000-0000-000008040000}"/>
    <cellStyle name="Euro 42 4 2 2" xfId="4125" xr:uid="{00000000-0005-0000-0000-000009040000}"/>
    <cellStyle name="Euro 42 4 3" xfId="4124" xr:uid="{00000000-0005-0000-0000-00000A040000}"/>
    <cellStyle name="Euro 42 5" xfId="296" xr:uid="{00000000-0005-0000-0000-00000B040000}"/>
    <cellStyle name="Euro 42 6" xfId="297" xr:uid="{00000000-0005-0000-0000-00000C040000}"/>
    <cellStyle name="Euro 43" xfId="298" xr:uid="{00000000-0005-0000-0000-00000D040000}"/>
    <cellStyle name="Euro 43 2" xfId="299" xr:uid="{00000000-0005-0000-0000-00000E040000}"/>
    <cellStyle name="Euro 43 2 2" xfId="4126" xr:uid="{00000000-0005-0000-0000-00000F040000}"/>
    <cellStyle name="Euro 43 3" xfId="300" xr:uid="{00000000-0005-0000-0000-000010040000}"/>
    <cellStyle name="Euro 43 3 2" xfId="301" xr:uid="{00000000-0005-0000-0000-000011040000}"/>
    <cellStyle name="Euro 43 3 2 2" xfId="2125" xr:uid="{00000000-0005-0000-0000-000012040000}"/>
    <cellStyle name="Euro 43 3 2 3" xfId="2124" xr:uid="{00000000-0005-0000-0000-000013040000}"/>
    <cellStyle name="Euro 43 3 3" xfId="3358" xr:uid="{00000000-0005-0000-0000-000014040000}"/>
    <cellStyle name="Euro 43 3 3 2" xfId="4128" xr:uid="{00000000-0005-0000-0000-000015040000}"/>
    <cellStyle name="Euro 43 3 4" xfId="4127" xr:uid="{00000000-0005-0000-0000-000016040000}"/>
    <cellStyle name="Euro 43 4" xfId="302" xr:uid="{00000000-0005-0000-0000-000017040000}"/>
    <cellStyle name="Euro 43 4 2" xfId="2126" xr:uid="{00000000-0005-0000-0000-000018040000}"/>
    <cellStyle name="Euro 43 4 2 2" xfId="4130" xr:uid="{00000000-0005-0000-0000-000019040000}"/>
    <cellStyle name="Euro 43 4 3" xfId="4129" xr:uid="{00000000-0005-0000-0000-00001A040000}"/>
    <cellStyle name="Euro 43 5" xfId="303" xr:uid="{00000000-0005-0000-0000-00001B040000}"/>
    <cellStyle name="Euro 43 6" xfId="304" xr:uid="{00000000-0005-0000-0000-00001C040000}"/>
    <cellStyle name="Euro 44" xfId="305" xr:uid="{00000000-0005-0000-0000-00001D040000}"/>
    <cellStyle name="Euro 44 2" xfId="306" xr:uid="{00000000-0005-0000-0000-00001E040000}"/>
    <cellStyle name="Euro 44 2 2" xfId="4131" xr:uid="{00000000-0005-0000-0000-00001F040000}"/>
    <cellStyle name="Euro 44 3" xfId="307" xr:uid="{00000000-0005-0000-0000-000020040000}"/>
    <cellStyle name="Euro 44 3 2" xfId="308" xr:uid="{00000000-0005-0000-0000-000021040000}"/>
    <cellStyle name="Euro 44 3 2 2" xfId="2128" xr:uid="{00000000-0005-0000-0000-000022040000}"/>
    <cellStyle name="Euro 44 3 2 3" xfId="2127" xr:uid="{00000000-0005-0000-0000-000023040000}"/>
    <cellStyle name="Euro 44 3 3" xfId="3359" xr:uid="{00000000-0005-0000-0000-000024040000}"/>
    <cellStyle name="Euro 44 3 3 2" xfId="4133" xr:uid="{00000000-0005-0000-0000-000025040000}"/>
    <cellStyle name="Euro 44 3 4" xfId="4132" xr:uid="{00000000-0005-0000-0000-000026040000}"/>
    <cellStyle name="Euro 44 4" xfId="309" xr:uid="{00000000-0005-0000-0000-000027040000}"/>
    <cellStyle name="Euro 44 4 2" xfId="2129" xr:uid="{00000000-0005-0000-0000-000028040000}"/>
    <cellStyle name="Euro 44 4 2 2" xfId="4135" xr:uid="{00000000-0005-0000-0000-000029040000}"/>
    <cellStyle name="Euro 44 4 3" xfId="4134" xr:uid="{00000000-0005-0000-0000-00002A040000}"/>
    <cellStyle name="Euro 44 5" xfId="310" xr:uid="{00000000-0005-0000-0000-00002B040000}"/>
    <cellStyle name="Euro 44 6" xfId="311" xr:uid="{00000000-0005-0000-0000-00002C040000}"/>
    <cellStyle name="Euro 45" xfId="312" xr:uid="{00000000-0005-0000-0000-00002D040000}"/>
    <cellStyle name="Euro 45 2" xfId="313" xr:uid="{00000000-0005-0000-0000-00002E040000}"/>
    <cellStyle name="Euro 45 2 2" xfId="4137" xr:uid="{00000000-0005-0000-0000-00002F040000}"/>
    <cellStyle name="Euro 45 2 3" xfId="3361" xr:uid="{00000000-0005-0000-0000-000030040000}"/>
    <cellStyle name="Euro 45 3" xfId="4136" xr:uid="{00000000-0005-0000-0000-000031040000}"/>
    <cellStyle name="Euro 45 4" xfId="3360" xr:uid="{00000000-0005-0000-0000-000032040000}"/>
    <cellStyle name="Euro 45 5" xfId="3236" xr:uid="{00000000-0005-0000-0000-000033040000}"/>
    <cellStyle name="Euro 45 6" xfId="2130" xr:uid="{00000000-0005-0000-0000-000034040000}"/>
    <cellStyle name="Euro 46" xfId="314" xr:uid="{00000000-0005-0000-0000-000035040000}"/>
    <cellStyle name="Euro 46 2" xfId="2131" xr:uid="{00000000-0005-0000-0000-000036040000}"/>
    <cellStyle name="Euro 47" xfId="315" xr:uid="{00000000-0005-0000-0000-000037040000}"/>
    <cellStyle name="Euro 47 2" xfId="316" xr:uid="{00000000-0005-0000-0000-000038040000}"/>
    <cellStyle name="Euro 47 2 2" xfId="2133" xr:uid="{00000000-0005-0000-0000-000039040000}"/>
    <cellStyle name="Euro 47 2 3" xfId="2132" xr:uid="{00000000-0005-0000-0000-00003A040000}"/>
    <cellStyle name="Euro 47 3" xfId="3362" xr:uid="{00000000-0005-0000-0000-00003B040000}"/>
    <cellStyle name="Euro 47 3 2" xfId="4139" xr:uid="{00000000-0005-0000-0000-00003C040000}"/>
    <cellStyle name="Euro 47 4" xfId="4138" xr:uid="{00000000-0005-0000-0000-00003D040000}"/>
    <cellStyle name="Euro 48" xfId="317" xr:uid="{00000000-0005-0000-0000-00003E040000}"/>
    <cellStyle name="Euro 48 2" xfId="4140" xr:uid="{00000000-0005-0000-0000-00003F040000}"/>
    <cellStyle name="Euro 49" xfId="318" xr:uid="{00000000-0005-0000-0000-000040040000}"/>
    <cellStyle name="Euro 49 2" xfId="2134" xr:uid="{00000000-0005-0000-0000-000041040000}"/>
    <cellStyle name="Euro 49 2 2" xfId="4142" xr:uid="{00000000-0005-0000-0000-000042040000}"/>
    <cellStyle name="Euro 49 3" xfId="4141" xr:uid="{00000000-0005-0000-0000-000043040000}"/>
    <cellStyle name="Euro 5" xfId="319" xr:uid="{00000000-0005-0000-0000-000044040000}"/>
    <cellStyle name="Euro 5 2" xfId="320" xr:uid="{00000000-0005-0000-0000-000045040000}"/>
    <cellStyle name="Euro 5 2 2" xfId="4143" xr:uid="{00000000-0005-0000-0000-000046040000}"/>
    <cellStyle name="Euro 5 3" xfId="321" xr:uid="{00000000-0005-0000-0000-000047040000}"/>
    <cellStyle name="Euro 5 3 2" xfId="322" xr:uid="{00000000-0005-0000-0000-000048040000}"/>
    <cellStyle name="Euro 5 3 2 2" xfId="2136" xr:uid="{00000000-0005-0000-0000-000049040000}"/>
    <cellStyle name="Euro 5 3 2 3" xfId="2135" xr:uid="{00000000-0005-0000-0000-00004A040000}"/>
    <cellStyle name="Euro 5 3 3" xfId="3363" xr:uid="{00000000-0005-0000-0000-00004B040000}"/>
    <cellStyle name="Euro 5 3 3 2" xfId="4145" xr:uid="{00000000-0005-0000-0000-00004C040000}"/>
    <cellStyle name="Euro 5 3 4" xfId="4144" xr:uid="{00000000-0005-0000-0000-00004D040000}"/>
    <cellStyle name="Euro 5 4" xfId="323" xr:uid="{00000000-0005-0000-0000-00004E040000}"/>
    <cellStyle name="Euro 5 4 2" xfId="2137" xr:uid="{00000000-0005-0000-0000-00004F040000}"/>
    <cellStyle name="Euro 5 4 2 2" xfId="4147" xr:uid="{00000000-0005-0000-0000-000050040000}"/>
    <cellStyle name="Euro 5 4 3" xfId="4146" xr:uid="{00000000-0005-0000-0000-000051040000}"/>
    <cellStyle name="Euro 5 5" xfId="324" xr:uid="{00000000-0005-0000-0000-000052040000}"/>
    <cellStyle name="Euro 5 6" xfId="325" xr:uid="{00000000-0005-0000-0000-000053040000}"/>
    <cellStyle name="Euro 50" xfId="326" xr:uid="{00000000-0005-0000-0000-000054040000}"/>
    <cellStyle name="Euro 51" xfId="327" xr:uid="{00000000-0005-0000-0000-000055040000}"/>
    <cellStyle name="Euro 51 2" xfId="4148" xr:uid="{00000000-0005-0000-0000-000056040000}"/>
    <cellStyle name="Euro 51 3" xfId="3364" xr:uid="{00000000-0005-0000-0000-000057040000}"/>
    <cellStyle name="Euro 6" xfId="328" xr:uid="{00000000-0005-0000-0000-000058040000}"/>
    <cellStyle name="Euro 6 2" xfId="329" xr:uid="{00000000-0005-0000-0000-000059040000}"/>
    <cellStyle name="Euro 6 2 2" xfId="4149" xr:uid="{00000000-0005-0000-0000-00005A040000}"/>
    <cellStyle name="Euro 6 3" xfId="330" xr:uid="{00000000-0005-0000-0000-00005B040000}"/>
    <cellStyle name="Euro 6 3 2" xfId="331" xr:uid="{00000000-0005-0000-0000-00005C040000}"/>
    <cellStyle name="Euro 6 3 2 2" xfId="2139" xr:uid="{00000000-0005-0000-0000-00005D040000}"/>
    <cellStyle name="Euro 6 3 2 3" xfId="2138" xr:uid="{00000000-0005-0000-0000-00005E040000}"/>
    <cellStyle name="Euro 6 3 3" xfId="3365" xr:uid="{00000000-0005-0000-0000-00005F040000}"/>
    <cellStyle name="Euro 6 3 3 2" xfId="4151" xr:uid="{00000000-0005-0000-0000-000060040000}"/>
    <cellStyle name="Euro 6 3 4" xfId="4150" xr:uid="{00000000-0005-0000-0000-000061040000}"/>
    <cellStyle name="Euro 6 4" xfId="332" xr:uid="{00000000-0005-0000-0000-000062040000}"/>
    <cellStyle name="Euro 6 4 2" xfId="2140" xr:uid="{00000000-0005-0000-0000-000063040000}"/>
    <cellStyle name="Euro 6 4 2 2" xfId="4153" xr:uid="{00000000-0005-0000-0000-000064040000}"/>
    <cellStyle name="Euro 6 4 3" xfId="4152" xr:uid="{00000000-0005-0000-0000-000065040000}"/>
    <cellStyle name="Euro 6 5" xfId="333" xr:uid="{00000000-0005-0000-0000-000066040000}"/>
    <cellStyle name="Euro 6 6" xfId="334" xr:uid="{00000000-0005-0000-0000-000067040000}"/>
    <cellStyle name="Euro 7" xfId="335" xr:uid="{00000000-0005-0000-0000-000068040000}"/>
    <cellStyle name="Euro 7 2" xfId="336" xr:uid="{00000000-0005-0000-0000-000069040000}"/>
    <cellStyle name="Euro 7 2 2" xfId="4154" xr:uid="{00000000-0005-0000-0000-00006A040000}"/>
    <cellStyle name="Euro 7 3" xfId="337" xr:uid="{00000000-0005-0000-0000-00006B040000}"/>
    <cellStyle name="Euro 7 3 2" xfId="338" xr:uid="{00000000-0005-0000-0000-00006C040000}"/>
    <cellStyle name="Euro 7 3 2 2" xfId="2142" xr:uid="{00000000-0005-0000-0000-00006D040000}"/>
    <cellStyle name="Euro 7 3 2 3" xfId="2141" xr:uid="{00000000-0005-0000-0000-00006E040000}"/>
    <cellStyle name="Euro 7 3 3" xfId="3366" xr:uid="{00000000-0005-0000-0000-00006F040000}"/>
    <cellStyle name="Euro 7 3 3 2" xfId="4156" xr:uid="{00000000-0005-0000-0000-000070040000}"/>
    <cellStyle name="Euro 7 3 4" xfId="4155" xr:uid="{00000000-0005-0000-0000-000071040000}"/>
    <cellStyle name="Euro 7 4" xfId="339" xr:uid="{00000000-0005-0000-0000-000072040000}"/>
    <cellStyle name="Euro 7 4 2" xfId="2143" xr:uid="{00000000-0005-0000-0000-000073040000}"/>
    <cellStyle name="Euro 7 4 2 2" xfId="4158" xr:uid="{00000000-0005-0000-0000-000074040000}"/>
    <cellStyle name="Euro 7 4 3" xfId="4157" xr:uid="{00000000-0005-0000-0000-000075040000}"/>
    <cellStyle name="Euro 7 5" xfId="340" xr:uid="{00000000-0005-0000-0000-000076040000}"/>
    <cellStyle name="Euro 7 6" xfId="341" xr:uid="{00000000-0005-0000-0000-000077040000}"/>
    <cellStyle name="Euro 8" xfId="342" xr:uid="{00000000-0005-0000-0000-000078040000}"/>
    <cellStyle name="Euro 8 2" xfId="343" xr:uid="{00000000-0005-0000-0000-000079040000}"/>
    <cellStyle name="Euro 8 2 2" xfId="4159" xr:uid="{00000000-0005-0000-0000-00007A040000}"/>
    <cellStyle name="Euro 8 3" xfId="344" xr:uid="{00000000-0005-0000-0000-00007B040000}"/>
    <cellStyle name="Euro 8 3 2" xfId="345" xr:uid="{00000000-0005-0000-0000-00007C040000}"/>
    <cellStyle name="Euro 8 3 2 2" xfId="2145" xr:uid="{00000000-0005-0000-0000-00007D040000}"/>
    <cellStyle name="Euro 8 3 2 3" xfId="2144" xr:uid="{00000000-0005-0000-0000-00007E040000}"/>
    <cellStyle name="Euro 8 3 3" xfId="3367" xr:uid="{00000000-0005-0000-0000-00007F040000}"/>
    <cellStyle name="Euro 8 3 3 2" xfId="4161" xr:uid="{00000000-0005-0000-0000-000080040000}"/>
    <cellStyle name="Euro 8 3 4" xfId="4160" xr:uid="{00000000-0005-0000-0000-000081040000}"/>
    <cellStyle name="Euro 8 4" xfId="346" xr:uid="{00000000-0005-0000-0000-000082040000}"/>
    <cellStyle name="Euro 8 4 2" xfId="2146" xr:uid="{00000000-0005-0000-0000-000083040000}"/>
    <cellStyle name="Euro 8 4 2 2" xfId="4163" xr:uid="{00000000-0005-0000-0000-000084040000}"/>
    <cellStyle name="Euro 8 4 3" xfId="4162" xr:uid="{00000000-0005-0000-0000-000085040000}"/>
    <cellStyle name="Euro 8 5" xfId="347" xr:uid="{00000000-0005-0000-0000-000086040000}"/>
    <cellStyle name="Euro 8 6" xfId="348" xr:uid="{00000000-0005-0000-0000-000087040000}"/>
    <cellStyle name="Euro 9" xfId="349" xr:uid="{00000000-0005-0000-0000-000088040000}"/>
    <cellStyle name="Euro 9 2" xfId="350" xr:uid="{00000000-0005-0000-0000-000089040000}"/>
    <cellStyle name="Euro 9 2 2" xfId="4164" xr:uid="{00000000-0005-0000-0000-00008A040000}"/>
    <cellStyle name="Euro 9 3" xfId="351" xr:uid="{00000000-0005-0000-0000-00008B040000}"/>
    <cellStyle name="Euro 9 3 2" xfId="352" xr:uid="{00000000-0005-0000-0000-00008C040000}"/>
    <cellStyle name="Euro 9 3 2 2" xfId="2148" xr:uid="{00000000-0005-0000-0000-00008D040000}"/>
    <cellStyle name="Euro 9 3 2 3" xfId="2147" xr:uid="{00000000-0005-0000-0000-00008E040000}"/>
    <cellStyle name="Euro 9 3 3" xfId="3368" xr:uid="{00000000-0005-0000-0000-00008F040000}"/>
    <cellStyle name="Euro 9 3 3 2" xfId="4166" xr:uid="{00000000-0005-0000-0000-000090040000}"/>
    <cellStyle name="Euro 9 3 4" xfId="4165" xr:uid="{00000000-0005-0000-0000-000091040000}"/>
    <cellStyle name="Euro 9 4" xfId="353" xr:uid="{00000000-0005-0000-0000-000092040000}"/>
    <cellStyle name="Euro 9 4 2" xfId="2149" xr:uid="{00000000-0005-0000-0000-000093040000}"/>
    <cellStyle name="Euro 9 4 2 2" xfId="4168" xr:uid="{00000000-0005-0000-0000-000094040000}"/>
    <cellStyle name="Euro 9 4 3" xfId="4167" xr:uid="{00000000-0005-0000-0000-000095040000}"/>
    <cellStyle name="Euro 9 5" xfId="354" xr:uid="{00000000-0005-0000-0000-000096040000}"/>
    <cellStyle name="Euro 9 6" xfId="355" xr:uid="{00000000-0005-0000-0000-000097040000}"/>
    <cellStyle name="Explanatory Text 2" xfId="5340" xr:uid="{00000000-0005-0000-0000-000098040000}"/>
    <cellStyle name="Fixed2 - Type2" xfId="356" xr:uid="{00000000-0005-0000-0000-000099040000}"/>
    <cellStyle name="Good 2" xfId="2150" xr:uid="{00000000-0005-0000-0000-00009A040000}"/>
    <cellStyle name="Heading 1 2" xfId="5341" xr:uid="{00000000-0005-0000-0000-00009B040000}"/>
    <cellStyle name="Heading 2 2" xfId="5342" xr:uid="{00000000-0005-0000-0000-00009C040000}"/>
    <cellStyle name="Heading 3 2" xfId="5343" xr:uid="{00000000-0005-0000-0000-00009D040000}"/>
    <cellStyle name="Heading 4 2" xfId="5344" xr:uid="{00000000-0005-0000-0000-00009E040000}"/>
    <cellStyle name="Hyperlink 2" xfId="2151" xr:uid="{00000000-0005-0000-0000-00009F040000}"/>
    <cellStyle name="Hyperlink 2 2" xfId="3369" xr:uid="{00000000-0005-0000-0000-0000A0040000}"/>
    <cellStyle name="Hyperlink 2 3" xfId="5345" xr:uid="{00000000-0005-0000-0000-0000A1040000}"/>
    <cellStyle name="Hyperlink 3" xfId="5346" xr:uid="{00000000-0005-0000-0000-0000A2040000}"/>
    <cellStyle name="Input 2" xfId="357" xr:uid="{00000000-0005-0000-0000-0000A3040000}"/>
    <cellStyle name="Input 2 2" xfId="2152" xr:uid="{00000000-0005-0000-0000-0000A4040000}"/>
    <cellStyle name="Input 2 2 2" xfId="2153" xr:uid="{00000000-0005-0000-0000-0000A5040000}"/>
    <cellStyle name="Input 2 3" xfId="2154" xr:uid="{00000000-0005-0000-0000-0000A6040000}"/>
    <cellStyle name="Input 2 4" xfId="5347" xr:uid="{00000000-0005-0000-0000-0000A7040000}"/>
    <cellStyle name="Input 2 5" xfId="5348" xr:uid="{00000000-0005-0000-0000-0000A8040000}"/>
    <cellStyle name="Input 2 6" xfId="5349" xr:uid="{00000000-0005-0000-0000-0000A9040000}"/>
    <cellStyle name="Input 2 7" xfId="5350" xr:uid="{00000000-0005-0000-0000-0000AA040000}"/>
    <cellStyle name="Input 2 8" xfId="5351" xr:uid="{00000000-0005-0000-0000-0000AB040000}"/>
    <cellStyle name="Input 3" xfId="2155" xr:uid="{00000000-0005-0000-0000-0000AC040000}"/>
    <cellStyle name="Input 3 2" xfId="2156" xr:uid="{00000000-0005-0000-0000-0000AD040000}"/>
    <cellStyle name="Input 3 3" xfId="3370" xr:uid="{00000000-0005-0000-0000-0000AE040000}"/>
    <cellStyle name="Input 3 4" xfId="5352" xr:uid="{00000000-0005-0000-0000-0000AF040000}"/>
    <cellStyle name="Input 3 5" xfId="5353" xr:uid="{00000000-0005-0000-0000-0000B0040000}"/>
    <cellStyle name="Input 3 6" xfId="5354" xr:uid="{00000000-0005-0000-0000-0000B1040000}"/>
    <cellStyle name="Input 3 7" xfId="5355" xr:uid="{00000000-0005-0000-0000-0000B2040000}"/>
    <cellStyle name="Input 4" xfId="5356" xr:uid="{00000000-0005-0000-0000-0000B3040000}"/>
    <cellStyle name="InputCells" xfId="358" xr:uid="{00000000-0005-0000-0000-0000B4040000}"/>
    <cellStyle name="Komma 10" xfId="5357" xr:uid="{00000000-0005-0000-0000-0000B5040000}"/>
    <cellStyle name="Komma 10 2" xfId="5358" xr:uid="{00000000-0005-0000-0000-0000B6040000}"/>
    <cellStyle name="Komma 11" xfId="5359" xr:uid="{00000000-0005-0000-0000-0000B7040000}"/>
    <cellStyle name="Komma 2" xfId="1952" xr:uid="{00000000-0005-0000-0000-0000B8040000}"/>
    <cellStyle name="Komma 2 2" xfId="3372" xr:uid="{00000000-0005-0000-0000-0000B9040000}"/>
    <cellStyle name="Komma 2 2 2" xfId="5360" xr:uid="{00000000-0005-0000-0000-0000BA040000}"/>
    <cellStyle name="Komma 2 2 3" xfId="5361" xr:uid="{00000000-0005-0000-0000-0000BB040000}"/>
    <cellStyle name="Komma 2 3" xfId="3371" xr:uid="{00000000-0005-0000-0000-0000BC040000}"/>
    <cellStyle name="Komma 2 3 2" xfId="5362" xr:uid="{00000000-0005-0000-0000-0000BD040000}"/>
    <cellStyle name="Komma 2 4" xfId="3233" xr:uid="{00000000-0005-0000-0000-0000BE040000}"/>
    <cellStyle name="Komma 2 4 2" xfId="5363" xr:uid="{00000000-0005-0000-0000-0000BF040000}"/>
    <cellStyle name="Komma 2 4 3" xfId="5364" xr:uid="{00000000-0005-0000-0000-0000C0040000}"/>
    <cellStyle name="Komma 2 5" xfId="2157" xr:uid="{00000000-0005-0000-0000-0000C1040000}"/>
    <cellStyle name="Komma 2 6" xfId="5365" xr:uid="{00000000-0005-0000-0000-0000C2040000}"/>
    <cellStyle name="Komma 2 7" xfId="5366" xr:uid="{00000000-0005-0000-0000-0000C3040000}"/>
    <cellStyle name="Komma 2 8" xfId="5367" xr:uid="{00000000-0005-0000-0000-0000C4040000}"/>
    <cellStyle name="Komma 3" xfId="3234" xr:uid="{00000000-0005-0000-0000-0000C5040000}"/>
    <cellStyle name="Komma 3 10" xfId="5368" xr:uid="{00000000-0005-0000-0000-0000C6040000}"/>
    <cellStyle name="Komma 3 11" xfId="5369" xr:uid="{00000000-0005-0000-0000-0000C7040000}"/>
    <cellStyle name="Komma 3 12" xfId="5370" xr:uid="{00000000-0005-0000-0000-0000C8040000}"/>
    <cellStyle name="Komma 3 13" xfId="5371" xr:uid="{00000000-0005-0000-0000-0000C9040000}"/>
    <cellStyle name="Komma 3 2" xfId="3374" xr:uid="{00000000-0005-0000-0000-0000CA040000}"/>
    <cellStyle name="Komma 3 2 2" xfId="5372" xr:uid="{00000000-0005-0000-0000-0000CB040000}"/>
    <cellStyle name="Komma 3 2 2 2" xfId="5373" xr:uid="{00000000-0005-0000-0000-0000CC040000}"/>
    <cellStyle name="Komma 3 2 2 2 2" xfId="5374" xr:uid="{00000000-0005-0000-0000-0000CD040000}"/>
    <cellStyle name="Komma 3 2 2 3" xfId="5375" xr:uid="{00000000-0005-0000-0000-0000CE040000}"/>
    <cellStyle name="Komma 3 2 3" xfId="5376" xr:uid="{00000000-0005-0000-0000-0000CF040000}"/>
    <cellStyle name="Komma 3 2 3 2" xfId="5377" xr:uid="{00000000-0005-0000-0000-0000D0040000}"/>
    <cellStyle name="Komma 3 2 3 2 2" xfId="5378" xr:uid="{00000000-0005-0000-0000-0000D1040000}"/>
    <cellStyle name="Komma 3 2 3 3" xfId="5379" xr:uid="{00000000-0005-0000-0000-0000D2040000}"/>
    <cellStyle name="Komma 3 2 4" xfId="5380" xr:uid="{00000000-0005-0000-0000-0000D3040000}"/>
    <cellStyle name="Komma 3 2 4 2" xfId="5381" xr:uid="{00000000-0005-0000-0000-0000D4040000}"/>
    <cellStyle name="Komma 3 2 5" xfId="5382" xr:uid="{00000000-0005-0000-0000-0000D5040000}"/>
    <cellStyle name="Komma 3 2 6" xfId="5383" xr:uid="{00000000-0005-0000-0000-0000D6040000}"/>
    <cellStyle name="Komma 3 3" xfId="3373" xr:uid="{00000000-0005-0000-0000-0000D7040000}"/>
    <cellStyle name="Komma 3 3 2" xfId="5384" xr:uid="{00000000-0005-0000-0000-0000D8040000}"/>
    <cellStyle name="Komma 3 3 2 2" xfId="5385" xr:uid="{00000000-0005-0000-0000-0000D9040000}"/>
    <cellStyle name="Komma 3 3 3" xfId="5386" xr:uid="{00000000-0005-0000-0000-0000DA040000}"/>
    <cellStyle name="Komma 3 4" xfId="5387" xr:uid="{00000000-0005-0000-0000-0000DB040000}"/>
    <cellStyle name="Komma 3 4 2" xfId="5388" xr:uid="{00000000-0005-0000-0000-0000DC040000}"/>
    <cellStyle name="Komma 3 4 2 2" xfId="5389" xr:uid="{00000000-0005-0000-0000-0000DD040000}"/>
    <cellStyle name="Komma 3 4 3" xfId="5390" xr:uid="{00000000-0005-0000-0000-0000DE040000}"/>
    <cellStyle name="Komma 3 5" xfId="5391" xr:uid="{00000000-0005-0000-0000-0000DF040000}"/>
    <cellStyle name="Komma 3 5 2" xfId="5392" xr:uid="{00000000-0005-0000-0000-0000E0040000}"/>
    <cellStyle name="Komma 3 6" xfId="5393" xr:uid="{00000000-0005-0000-0000-0000E1040000}"/>
    <cellStyle name="Komma 3 7" xfId="5394" xr:uid="{00000000-0005-0000-0000-0000E2040000}"/>
    <cellStyle name="Komma 3 7 2" xfId="5395" xr:uid="{00000000-0005-0000-0000-0000E3040000}"/>
    <cellStyle name="Komma 3 8" xfId="5396" xr:uid="{00000000-0005-0000-0000-0000E4040000}"/>
    <cellStyle name="Komma 3 9" xfId="5397" xr:uid="{00000000-0005-0000-0000-0000E5040000}"/>
    <cellStyle name="Komma 4" xfId="3375" xr:uid="{00000000-0005-0000-0000-0000E6040000}"/>
    <cellStyle name="Komma 4 10" xfId="5398" xr:uid="{00000000-0005-0000-0000-0000E7040000}"/>
    <cellStyle name="Komma 4 11" xfId="5399" xr:uid="{00000000-0005-0000-0000-0000E8040000}"/>
    <cellStyle name="Komma 4 12" xfId="5400" xr:uid="{00000000-0005-0000-0000-0000E9040000}"/>
    <cellStyle name="Komma 4 16" xfId="8185" xr:uid="{00000000-0005-0000-0000-0000EA040000}"/>
    <cellStyle name="Komma 4 2" xfId="4169" xr:uid="{00000000-0005-0000-0000-0000EB040000}"/>
    <cellStyle name="Komma 4 2 2" xfId="5401" xr:uid="{00000000-0005-0000-0000-0000EC040000}"/>
    <cellStyle name="Komma 4 2 2 2" xfId="5402" xr:uid="{00000000-0005-0000-0000-0000ED040000}"/>
    <cellStyle name="Komma 4 2 2 3" xfId="5403" xr:uid="{00000000-0005-0000-0000-0000EE040000}"/>
    <cellStyle name="Komma 4 2 3" xfId="5404" xr:uid="{00000000-0005-0000-0000-0000EF040000}"/>
    <cellStyle name="Komma 4 2 3 2" xfId="5405" xr:uid="{00000000-0005-0000-0000-0000F0040000}"/>
    <cellStyle name="Komma 4 2 4" xfId="5406" xr:uid="{00000000-0005-0000-0000-0000F1040000}"/>
    <cellStyle name="Komma 4 2 4 2" xfId="5407" xr:uid="{00000000-0005-0000-0000-0000F2040000}"/>
    <cellStyle name="Komma 4 2 5" xfId="5408" xr:uid="{00000000-0005-0000-0000-0000F3040000}"/>
    <cellStyle name="Komma 4 2 6" xfId="5409" xr:uid="{00000000-0005-0000-0000-0000F4040000}"/>
    <cellStyle name="Komma 4 2 7" xfId="5410" xr:uid="{00000000-0005-0000-0000-0000F5040000}"/>
    <cellStyle name="Komma 4 3" xfId="5411" xr:uid="{00000000-0005-0000-0000-0000F6040000}"/>
    <cellStyle name="Komma 4 3 2" xfId="5412" xr:uid="{00000000-0005-0000-0000-0000F7040000}"/>
    <cellStyle name="Komma 4 3 2 2" xfId="5413" xr:uid="{00000000-0005-0000-0000-0000F8040000}"/>
    <cellStyle name="Komma 4 3 3" xfId="5414" xr:uid="{00000000-0005-0000-0000-0000F9040000}"/>
    <cellStyle name="Komma 4 3 3 2" xfId="5415" xr:uid="{00000000-0005-0000-0000-0000FA040000}"/>
    <cellStyle name="Komma 4 3 4" xfId="5416" xr:uid="{00000000-0005-0000-0000-0000FB040000}"/>
    <cellStyle name="Komma 4 3 5" xfId="5417" xr:uid="{00000000-0005-0000-0000-0000FC040000}"/>
    <cellStyle name="Komma 4 4" xfId="5418" xr:uid="{00000000-0005-0000-0000-0000FD040000}"/>
    <cellStyle name="Komma 4 4 2" xfId="5419" xr:uid="{00000000-0005-0000-0000-0000FE040000}"/>
    <cellStyle name="Komma 4 5" xfId="5420" xr:uid="{00000000-0005-0000-0000-0000FF040000}"/>
    <cellStyle name="Komma 4 5 2" xfId="5421" xr:uid="{00000000-0005-0000-0000-000000050000}"/>
    <cellStyle name="Komma 4 6" xfId="5422" xr:uid="{00000000-0005-0000-0000-000001050000}"/>
    <cellStyle name="Komma 4 6 2" xfId="5423" xr:uid="{00000000-0005-0000-0000-000002050000}"/>
    <cellStyle name="Komma 4 7" xfId="5424" xr:uid="{00000000-0005-0000-0000-000003050000}"/>
    <cellStyle name="Komma 4 8" xfId="5425" xr:uid="{00000000-0005-0000-0000-000004050000}"/>
    <cellStyle name="Komma 4 9" xfId="5426" xr:uid="{00000000-0005-0000-0000-000005050000}"/>
    <cellStyle name="Komma 5" xfId="3376" xr:uid="{00000000-0005-0000-0000-000006050000}"/>
    <cellStyle name="Komma 5 2" xfId="4170" xr:uid="{00000000-0005-0000-0000-000007050000}"/>
    <cellStyle name="Komma 5 2 2" xfId="5427" xr:uid="{00000000-0005-0000-0000-000008050000}"/>
    <cellStyle name="Komma 5 2 2 2" xfId="5428" xr:uid="{00000000-0005-0000-0000-000009050000}"/>
    <cellStyle name="Komma 5 2 2 3" xfId="5429" xr:uid="{00000000-0005-0000-0000-00000A050000}"/>
    <cellStyle name="Komma 5 2 3" xfId="5430" xr:uid="{00000000-0005-0000-0000-00000B050000}"/>
    <cellStyle name="Komma 5 2 3 2" xfId="5431" xr:uid="{00000000-0005-0000-0000-00000C050000}"/>
    <cellStyle name="Komma 5 2 4" xfId="5432" xr:uid="{00000000-0005-0000-0000-00000D050000}"/>
    <cellStyle name="Komma 5 2 5" xfId="5433" xr:uid="{00000000-0005-0000-0000-00000E050000}"/>
    <cellStyle name="Komma 5 3" xfId="5434" xr:uid="{00000000-0005-0000-0000-00000F050000}"/>
    <cellStyle name="Komma 5 3 2" xfId="5435" xr:uid="{00000000-0005-0000-0000-000010050000}"/>
    <cellStyle name="Komma 5 3 3" xfId="5436" xr:uid="{00000000-0005-0000-0000-000011050000}"/>
    <cellStyle name="Komma 5 4" xfId="5437" xr:uid="{00000000-0005-0000-0000-000012050000}"/>
    <cellStyle name="Komma 5 4 2" xfId="5438" xr:uid="{00000000-0005-0000-0000-000013050000}"/>
    <cellStyle name="Komma 5 5" xfId="5439" xr:uid="{00000000-0005-0000-0000-000014050000}"/>
    <cellStyle name="Komma 5 5 2" xfId="5440" xr:uid="{00000000-0005-0000-0000-000015050000}"/>
    <cellStyle name="Komma 5 6" xfId="5441" xr:uid="{00000000-0005-0000-0000-000016050000}"/>
    <cellStyle name="Komma 5 7" xfId="5442" xr:uid="{00000000-0005-0000-0000-000017050000}"/>
    <cellStyle name="Komma 6" xfId="5443" xr:uid="{00000000-0005-0000-0000-000018050000}"/>
    <cellStyle name="Komma 6 2" xfId="5444" xr:uid="{00000000-0005-0000-0000-000019050000}"/>
    <cellStyle name="Komma 6 2 2" xfId="5445" xr:uid="{00000000-0005-0000-0000-00001A050000}"/>
    <cellStyle name="Komma 6 2 2 2" xfId="5446" xr:uid="{00000000-0005-0000-0000-00001B050000}"/>
    <cellStyle name="Komma 6 2 3" xfId="5447" xr:uid="{00000000-0005-0000-0000-00001C050000}"/>
    <cellStyle name="Komma 6 2 3 2" xfId="5448" xr:uid="{00000000-0005-0000-0000-00001D050000}"/>
    <cellStyle name="Komma 6 2 4" xfId="5449" xr:uid="{00000000-0005-0000-0000-00001E050000}"/>
    <cellStyle name="Komma 6 3" xfId="5450" xr:uid="{00000000-0005-0000-0000-00001F050000}"/>
    <cellStyle name="Komma 6 3 2" xfId="5451" xr:uid="{00000000-0005-0000-0000-000020050000}"/>
    <cellStyle name="Komma 6 4" xfId="5452" xr:uid="{00000000-0005-0000-0000-000021050000}"/>
    <cellStyle name="Komma 6 4 2" xfId="5453" xr:uid="{00000000-0005-0000-0000-000022050000}"/>
    <cellStyle name="Komma 6 5" xfId="5454" xr:uid="{00000000-0005-0000-0000-000023050000}"/>
    <cellStyle name="Komma 6 5 2" xfId="5455" xr:uid="{00000000-0005-0000-0000-000024050000}"/>
    <cellStyle name="Komma 6 6" xfId="5456" xr:uid="{00000000-0005-0000-0000-000025050000}"/>
    <cellStyle name="Komma 7" xfId="5457" xr:uid="{00000000-0005-0000-0000-000026050000}"/>
    <cellStyle name="Komma 7 2" xfId="5458" xr:uid="{00000000-0005-0000-0000-000027050000}"/>
    <cellStyle name="Komma 7 2 2" xfId="5459" xr:uid="{00000000-0005-0000-0000-000028050000}"/>
    <cellStyle name="Komma 7 2 2 2" xfId="5460" xr:uid="{00000000-0005-0000-0000-000029050000}"/>
    <cellStyle name="Komma 7 2 3" xfId="5461" xr:uid="{00000000-0005-0000-0000-00002A050000}"/>
    <cellStyle name="Komma 7 2 3 2" xfId="5462" xr:uid="{00000000-0005-0000-0000-00002B050000}"/>
    <cellStyle name="Komma 7 2 4" xfId="5463" xr:uid="{00000000-0005-0000-0000-00002C050000}"/>
    <cellStyle name="Komma 7 3" xfId="5464" xr:uid="{00000000-0005-0000-0000-00002D050000}"/>
    <cellStyle name="Komma 7 3 2" xfId="5465" xr:uid="{00000000-0005-0000-0000-00002E050000}"/>
    <cellStyle name="Komma 7 4" xfId="5466" xr:uid="{00000000-0005-0000-0000-00002F050000}"/>
    <cellStyle name="Komma 7 4 2" xfId="5467" xr:uid="{00000000-0005-0000-0000-000030050000}"/>
    <cellStyle name="Komma 7 5" xfId="5468" xr:uid="{00000000-0005-0000-0000-000031050000}"/>
    <cellStyle name="Komma 8" xfId="5469" xr:uid="{00000000-0005-0000-0000-000032050000}"/>
    <cellStyle name="Komma 8 2" xfId="5470" xr:uid="{00000000-0005-0000-0000-000033050000}"/>
    <cellStyle name="Komma 8 2 2" xfId="5471" xr:uid="{00000000-0005-0000-0000-000034050000}"/>
    <cellStyle name="Komma 8 3" xfId="5472" xr:uid="{00000000-0005-0000-0000-000035050000}"/>
    <cellStyle name="Komma 8 3 2" xfId="5473" xr:uid="{00000000-0005-0000-0000-000036050000}"/>
    <cellStyle name="Komma 8 4" xfId="5474" xr:uid="{00000000-0005-0000-0000-000037050000}"/>
    <cellStyle name="Komma 9" xfId="5475" xr:uid="{00000000-0005-0000-0000-000038050000}"/>
    <cellStyle name="Komma 9 2" xfId="5476" xr:uid="{00000000-0005-0000-0000-000039050000}"/>
    <cellStyle name="Kontroller celle" xfId="2158" xr:uid="{00000000-0005-0000-0000-00003A050000}"/>
    <cellStyle name="Link 2" xfId="3377" xr:uid="{00000000-0005-0000-0000-00003B050000}"/>
    <cellStyle name="Link 2 2" xfId="5477" xr:uid="{00000000-0005-0000-0000-00003C050000}"/>
    <cellStyle name="Link 2 3" xfId="5478" xr:uid="{00000000-0005-0000-0000-00003D050000}"/>
    <cellStyle name="Link 2 4" xfId="5479" xr:uid="{00000000-0005-0000-0000-00003E050000}"/>
    <cellStyle name="Link 2 5" xfId="5480" xr:uid="{00000000-0005-0000-0000-00003F050000}"/>
    <cellStyle name="Link 3" xfId="3378" xr:uid="{00000000-0005-0000-0000-000040050000}"/>
    <cellStyle name="Link 3 2" xfId="5481" xr:uid="{00000000-0005-0000-0000-000041050000}"/>
    <cellStyle name="Link 4" xfId="5482" xr:uid="{00000000-0005-0000-0000-000042050000}"/>
    <cellStyle name="Link 5" xfId="5483" xr:uid="{00000000-0005-0000-0000-000043050000}"/>
    <cellStyle name="Link 6" xfId="5484" xr:uid="{00000000-0005-0000-0000-000044050000}"/>
    <cellStyle name="Linked Cell 2" xfId="5485" xr:uid="{00000000-0005-0000-0000-000045050000}"/>
    <cellStyle name="Markeringsfarve1" xfId="2159" xr:uid="{00000000-0005-0000-0000-000046050000}"/>
    <cellStyle name="Markeringsfarve2" xfId="2160" xr:uid="{00000000-0005-0000-0000-000047050000}"/>
    <cellStyle name="Markeringsfarve3" xfId="2161" xr:uid="{00000000-0005-0000-0000-000048050000}"/>
    <cellStyle name="Markeringsfarve4" xfId="2162" xr:uid="{00000000-0005-0000-0000-000049050000}"/>
    <cellStyle name="Markeringsfarve5" xfId="2163" xr:uid="{00000000-0005-0000-0000-00004A050000}"/>
    <cellStyle name="Markeringsfarve6" xfId="2164" xr:uid="{00000000-0005-0000-0000-00004B050000}"/>
    <cellStyle name="Migliaia [0] 10" xfId="359" xr:uid="{00000000-0005-0000-0000-00004C050000}"/>
    <cellStyle name="Migliaia [0] 10 2" xfId="360" xr:uid="{00000000-0005-0000-0000-00004D050000}"/>
    <cellStyle name="Migliaia [0] 10 2 2" xfId="2165" xr:uid="{00000000-0005-0000-0000-00004E050000}"/>
    <cellStyle name="Migliaia [0] 10 2 3" xfId="3873" xr:uid="{00000000-0005-0000-0000-00004F050000}"/>
    <cellStyle name="Migliaia [0] 10 3" xfId="1821" xr:uid="{00000000-0005-0000-0000-000050050000}"/>
    <cellStyle name="Migliaia [0] 10 4" xfId="3110" xr:uid="{00000000-0005-0000-0000-000051050000}"/>
    <cellStyle name="Migliaia [0] 10 5" xfId="5486" xr:uid="{00000000-0005-0000-0000-000052050000}"/>
    <cellStyle name="Migliaia [0] 11" xfId="361" xr:uid="{00000000-0005-0000-0000-000053050000}"/>
    <cellStyle name="Migliaia [0] 11 2" xfId="362" xr:uid="{00000000-0005-0000-0000-000054050000}"/>
    <cellStyle name="Migliaia [0] 11 2 2" xfId="2166" xr:uid="{00000000-0005-0000-0000-000055050000}"/>
    <cellStyle name="Migliaia [0] 11 2 3" xfId="3874" xr:uid="{00000000-0005-0000-0000-000056050000}"/>
    <cellStyle name="Migliaia [0] 11 3" xfId="1822" xr:uid="{00000000-0005-0000-0000-000057050000}"/>
    <cellStyle name="Migliaia [0] 11 4" xfId="3111" xr:uid="{00000000-0005-0000-0000-000058050000}"/>
    <cellStyle name="Migliaia [0] 11 5" xfId="5487" xr:uid="{00000000-0005-0000-0000-000059050000}"/>
    <cellStyle name="Migliaia [0] 12" xfId="363" xr:uid="{00000000-0005-0000-0000-00005A050000}"/>
    <cellStyle name="Migliaia [0] 12 2" xfId="364" xr:uid="{00000000-0005-0000-0000-00005B050000}"/>
    <cellStyle name="Migliaia [0] 12 2 2" xfId="2167" xr:uid="{00000000-0005-0000-0000-00005C050000}"/>
    <cellStyle name="Migliaia [0] 12 2 3" xfId="3875" xr:uid="{00000000-0005-0000-0000-00005D050000}"/>
    <cellStyle name="Migliaia [0] 12 3" xfId="1823" xr:uid="{00000000-0005-0000-0000-00005E050000}"/>
    <cellStyle name="Migliaia [0] 12 4" xfId="3112" xr:uid="{00000000-0005-0000-0000-00005F050000}"/>
    <cellStyle name="Migliaia [0] 12 5" xfId="5488" xr:uid="{00000000-0005-0000-0000-000060050000}"/>
    <cellStyle name="Migliaia [0] 13" xfId="365" xr:uid="{00000000-0005-0000-0000-000061050000}"/>
    <cellStyle name="Migliaia [0] 13 2" xfId="366" xr:uid="{00000000-0005-0000-0000-000062050000}"/>
    <cellStyle name="Migliaia [0] 13 2 2" xfId="2168" xr:uid="{00000000-0005-0000-0000-000063050000}"/>
    <cellStyle name="Migliaia [0] 13 2 3" xfId="3876" xr:uid="{00000000-0005-0000-0000-000064050000}"/>
    <cellStyle name="Migliaia [0] 13 3" xfId="1824" xr:uid="{00000000-0005-0000-0000-000065050000}"/>
    <cellStyle name="Migliaia [0] 13 4" xfId="3113" xr:uid="{00000000-0005-0000-0000-000066050000}"/>
    <cellStyle name="Migliaia [0] 13 5" xfId="5489" xr:uid="{00000000-0005-0000-0000-000067050000}"/>
    <cellStyle name="Migliaia [0] 14" xfId="367" xr:uid="{00000000-0005-0000-0000-000068050000}"/>
    <cellStyle name="Migliaia [0] 14 2" xfId="368" xr:uid="{00000000-0005-0000-0000-000069050000}"/>
    <cellStyle name="Migliaia [0] 14 2 2" xfId="2169" xr:uid="{00000000-0005-0000-0000-00006A050000}"/>
    <cellStyle name="Migliaia [0] 14 2 3" xfId="3877" xr:uid="{00000000-0005-0000-0000-00006B050000}"/>
    <cellStyle name="Migliaia [0] 14 3" xfId="1825" xr:uid="{00000000-0005-0000-0000-00006C050000}"/>
    <cellStyle name="Migliaia [0] 14 4" xfId="3114" xr:uid="{00000000-0005-0000-0000-00006D050000}"/>
    <cellStyle name="Migliaia [0] 14 5" xfId="5490" xr:uid="{00000000-0005-0000-0000-00006E050000}"/>
    <cellStyle name="Migliaia [0] 15" xfId="369" xr:uid="{00000000-0005-0000-0000-00006F050000}"/>
    <cellStyle name="Migliaia [0] 15 2" xfId="370" xr:uid="{00000000-0005-0000-0000-000070050000}"/>
    <cellStyle name="Migliaia [0] 15 2 2" xfId="2170" xr:uid="{00000000-0005-0000-0000-000071050000}"/>
    <cellStyle name="Migliaia [0] 15 2 3" xfId="3878" xr:uid="{00000000-0005-0000-0000-000072050000}"/>
    <cellStyle name="Migliaia [0] 15 3" xfId="1826" xr:uid="{00000000-0005-0000-0000-000073050000}"/>
    <cellStyle name="Migliaia [0] 15 4" xfId="3115" xr:uid="{00000000-0005-0000-0000-000074050000}"/>
    <cellStyle name="Migliaia [0] 15 5" xfId="5491" xr:uid="{00000000-0005-0000-0000-000075050000}"/>
    <cellStyle name="Migliaia [0] 16" xfId="371" xr:uid="{00000000-0005-0000-0000-000076050000}"/>
    <cellStyle name="Migliaia [0] 16 2" xfId="372" xr:uid="{00000000-0005-0000-0000-000077050000}"/>
    <cellStyle name="Migliaia [0] 16 2 2" xfId="2171" xr:uid="{00000000-0005-0000-0000-000078050000}"/>
    <cellStyle name="Migliaia [0] 16 2 3" xfId="3879" xr:uid="{00000000-0005-0000-0000-000079050000}"/>
    <cellStyle name="Migliaia [0] 16 3" xfId="1827" xr:uid="{00000000-0005-0000-0000-00007A050000}"/>
    <cellStyle name="Migliaia [0] 16 4" xfId="3116" xr:uid="{00000000-0005-0000-0000-00007B050000}"/>
    <cellStyle name="Migliaia [0] 16 5" xfId="5492" xr:uid="{00000000-0005-0000-0000-00007C050000}"/>
    <cellStyle name="Migliaia [0] 17" xfId="373" xr:uid="{00000000-0005-0000-0000-00007D050000}"/>
    <cellStyle name="Migliaia [0] 17 2" xfId="374" xr:uid="{00000000-0005-0000-0000-00007E050000}"/>
    <cellStyle name="Migliaia [0] 17 2 2" xfId="2172" xr:uid="{00000000-0005-0000-0000-00007F050000}"/>
    <cellStyle name="Migliaia [0] 17 2 3" xfId="3880" xr:uid="{00000000-0005-0000-0000-000080050000}"/>
    <cellStyle name="Migliaia [0] 17 3" xfId="1828" xr:uid="{00000000-0005-0000-0000-000081050000}"/>
    <cellStyle name="Migliaia [0] 17 4" xfId="3117" xr:uid="{00000000-0005-0000-0000-000082050000}"/>
    <cellStyle name="Migliaia [0] 17 5" xfId="5493" xr:uid="{00000000-0005-0000-0000-000083050000}"/>
    <cellStyle name="Migliaia [0] 18" xfId="375" xr:uid="{00000000-0005-0000-0000-000084050000}"/>
    <cellStyle name="Migliaia [0] 18 2" xfId="376" xr:uid="{00000000-0005-0000-0000-000085050000}"/>
    <cellStyle name="Migliaia [0] 18 2 2" xfId="2173" xr:uid="{00000000-0005-0000-0000-000086050000}"/>
    <cellStyle name="Migliaia [0] 18 2 3" xfId="3881" xr:uid="{00000000-0005-0000-0000-000087050000}"/>
    <cellStyle name="Migliaia [0] 18 3" xfId="1829" xr:uid="{00000000-0005-0000-0000-000088050000}"/>
    <cellStyle name="Migliaia [0] 18 4" xfId="3118" xr:uid="{00000000-0005-0000-0000-000089050000}"/>
    <cellStyle name="Migliaia [0] 18 5" xfId="5494" xr:uid="{00000000-0005-0000-0000-00008A050000}"/>
    <cellStyle name="Migliaia [0] 19" xfId="377" xr:uid="{00000000-0005-0000-0000-00008B050000}"/>
    <cellStyle name="Migliaia [0] 19 2" xfId="378" xr:uid="{00000000-0005-0000-0000-00008C050000}"/>
    <cellStyle name="Migliaia [0] 19 2 2" xfId="2174" xr:uid="{00000000-0005-0000-0000-00008D050000}"/>
    <cellStyle name="Migliaia [0] 19 2 3" xfId="3882" xr:uid="{00000000-0005-0000-0000-00008E050000}"/>
    <cellStyle name="Migliaia [0] 19 3" xfId="1830" xr:uid="{00000000-0005-0000-0000-00008F050000}"/>
    <cellStyle name="Migliaia [0] 19 4" xfId="3119" xr:uid="{00000000-0005-0000-0000-000090050000}"/>
    <cellStyle name="Migliaia [0] 19 5" xfId="5495" xr:uid="{00000000-0005-0000-0000-000091050000}"/>
    <cellStyle name="Migliaia [0] 2" xfId="379" xr:uid="{00000000-0005-0000-0000-000092050000}"/>
    <cellStyle name="Migliaia [0] 2 2" xfId="380" xr:uid="{00000000-0005-0000-0000-000093050000}"/>
    <cellStyle name="Migliaia [0] 2 2 2" xfId="2175" xr:uid="{00000000-0005-0000-0000-000094050000}"/>
    <cellStyle name="Migliaia [0] 2 2 3" xfId="3883" xr:uid="{00000000-0005-0000-0000-000095050000}"/>
    <cellStyle name="Migliaia [0] 2 3" xfId="1831" xr:uid="{00000000-0005-0000-0000-000096050000}"/>
    <cellStyle name="Migliaia [0] 2 4" xfId="3120" xr:uid="{00000000-0005-0000-0000-000097050000}"/>
    <cellStyle name="Migliaia [0] 2 5" xfId="5496" xr:uid="{00000000-0005-0000-0000-000098050000}"/>
    <cellStyle name="Migliaia [0] 20" xfId="381" xr:uid="{00000000-0005-0000-0000-000099050000}"/>
    <cellStyle name="Migliaia [0] 20 2" xfId="382" xr:uid="{00000000-0005-0000-0000-00009A050000}"/>
    <cellStyle name="Migliaia [0] 20 2 2" xfId="2176" xr:uid="{00000000-0005-0000-0000-00009B050000}"/>
    <cellStyle name="Migliaia [0] 20 2 3" xfId="3884" xr:uid="{00000000-0005-0000-0000-00009C050000}"/>
    <cellStyle name="Migliaia [0] 20 3" xfId="1832" xr:uid="{00000000-0005-0000-0000-00009D050000}"/>
    <cellStyle name="Migliaia [0] 20 4" xfId="3121" xr:uid="{00000000-0005-0000-0000-00009E050000}"/>
    <cellStyle name="Migliaia [0] 20 5" xfId="5497" xr:uid="{00000000-0005-0000-0000-00009F050000}"/>
    <cellStyle name="Migliaia [0] 21" xfId="383" xr:uid="{00000000-0005-0000-0000-0000A0050000}"/>
    <cellStyle name="Migliaia [0] 21 2" xfId="384" xr:uid="{00000000-0005-0000-0000-0000A1050000}"/>
    <cellStyle name="Migliaia [0] 21 2 2" xfId="2177" xr:uid="{00000000-0005-0000-0000-0000A2050000}"/>
    <cellStyle name="Migliaia [0] 21 2 3" xfId="3885" xr:uid="{00000000-0005-0000-0000-0000A3050000}"/>
    <cellStyle name="Migliaia [0] 21 3" xfId="1833" xr:uid="{00000000-0005-0000-0000-0000A4050000}"/>
    <cellStyle name="Migliaia [0] 21 4" xfId="3122" xr:uid="{00000000-0005-0000-0000-0000A5050000}"/>
    <cellStyle name="Migliaia [0] 21 5" xfId="5498" xr:uid="{00000000-0005-0000-0000-0000A6050000}"/>
    <cellStyle name="Migliaia [0] 22" xfId="385" xr:uid="{00000000-0005-0000-0000-0000A7050000}"/>
    <cellStyle name="Migliaia [0] 22 2" xfId="386" xr:uid="{00000000-0005-0000-0000-0000A8050000}"/>
    <cellStyle name="Migliaia [0] 22 2 2" xfId="2178" xr:uid="{00000000-0005-0000-0000-0000A9050000}"/>
    <cellStyle name="Migliaia [0] 22 2 3" xfId="3886" xr:uid="{00000000-0005-0000-0000-0000AA050000}"/>
    <cellStyle name="Migliaia [0] 22 3" xfId="1834" xr:uid="{00000000-0005-0000-0000-0000AB050000}"/>
    <cellStyle name="Migliaia [0] 22 4" xfId="3123" xr:uid="{00000000-0005-0000-0000-0000AC050000}"/>
    <cellStyle name="Migliaia [0] 22 5" xfId="5499" xr:uid="{00000000-0005-0000-0000-0000AD050000}"/>
    <cellStyle name="Migliaia [0] 23" xfId="387" xr:uid="{00000000-0005-0000-0000-0000AE050000}"/>
    <cellStyle name="Migliaia [0] 23 2" xfId="388" xr:uid="{00000000-0005-0000-0000-0000AF050000}"/>
    <cellStyle name="Migliaia [0] 23 2 2" xfId="2179" xr:uid="{00000000-0005-0000-0000-0000B0050000}"/>
    <cellStyle name="Migliaia [0] 23 2 3" xfId="3887" xr:uid="{00000000-0005-0000-0000-0000B1050000}"/>
    <cellStyle name="Migliaia [0] 23 3" xfId="1835" xr:uid="{00000000-0005-0000-0000-0000B2050000}"/>
    <cellStyle name="Migliaia [0] 23 4" xfId="3124" xr:uid="{00000000-0005-0000-0000-0000B3050000}"/>
    <cellStyle name="Migliaia [0] 23 5" xfId="5500" xr:uid="{00000000-0005-0000-0000-0000B4050000}"/>
    <cellStyle name="Migliaia [0] 24" xfId="389" xr:uid="{00000000-0005-0000-0000-0000B5050000}"/>
    <cellStyle name="Migliaia [0] 24 2" xfId="390" xr:uid="{00000000-0005-0000-0000-0000B6050000}"/>
    <cellStyle name="Migliaia [0] 24 2 2" xfId="2180" xr:uid="{00000000-0005-0000-0000-0000B7050000}"/>
    <cellStyle name="Migliaia [0] 24 2 3" xfId="3888" xr:uid="{00000000-0005-0000-0000-0000B8050000}"/>
    <cellStyle name="Migliaia [0] 24 3" xfId="1836" xr:uid="{00000000-0005-0000-0000-0000B9050000}"/>
    <cellStyle name="Migliaia [0] 24 4" xfId="3125" xr:uid="{00000000-0005-0000-0000-0000BA050000}"/>
    <cellStyle name="Migliaia [0] 24 5" xfId="5501" xr:uid="{00000000-0005-0000-0000-0000BB050000}"/>
    <cellStyle name="Migliaia [0] 25" xfId="391" xr:uid="{00000000-0005-0000-0000-0000BC050000}"/>
    <cellStyle name="Migliaia [0] 25 2" xfId="392" xr:uid="{00000000-0005-0000-0000-0000BD050000}"/>
    <cellStyle name="Migliaia [0] 25 2 2" xfId="2181" xr:uid="{00000000-0005-0000-0000-0000BE050000}"/>
    <cellStyle name="Migliaia [0] 25 2 3" xfId="3889" xr:uid="{00000000-0005-0000-0000-0000BF050000}"/>
    <cellStyle name="Migliaia [0] 25 3" xfId="1837" xr:uid="{00000000-0005-0000-0000-0000C0050000}"/>
    <cellStyle name="Migliaia [0] 25 4" xfId="3126" xr:uid="{00000000-0005-0000-0000-0000C1050000}"/>
    <cellStyle name="Migliaia [0] 25 5" xfId="5502" xr:uid="{00000000-0005-0000-0000-0000C2050000}"/>
    <cellStyle name="Migliaia [0] 26" xfId="393" xr:uid="{00000000-0005-0000-0000-0000C3050000}"/>
    <cellStyle name="Migliaia [0] 26 2" xfId="394" xr:uid="{00000000-0005-0000-0000-0000C4050000}"/>
    <cellStyle name="Migliaia [0] 26 2 2" xfId="2182" xr:uid="{00000000-0005-0000-0000-0000C5050000}"/>
    <cellStyle name="Migliaia [0] 26 2 3" xfId="3890" xr:uid="{00000000-0005-0000-0000-0000C6050000}"/>
    <cellStyle name="Migliaia [0] 26 3" xfId="1838" xr:uid="{00000000-0005-0000-0000-0000C7050000}"/>
    <cellStyle name="Migliaia [0] 26 4" xfId="3127" xr:uid="{00000000-0005-0000-0000-0000C8050000}"/>
    <cellStyle name="Migliaia [0] 26 5" xfId="5503" xr:uid="{00000000-0005-0000-0000-0000C9050000}"/>
    <cellStyle name="Migliaia [0] 27" xfId="395" xr:uid="{00000000-0005-0000-0000-0000CA050000}"/>
    <cellStyle name="Migliaia [0] 27 2" xfId="396" xr:uid="{00000000-0005-0000-0000-0000CB050000}"/>
    <cellStyle name="Migliaia [0] 27 2 2" xfId="2183" xr:uid="{00000000-0005-0000-0000-0000CC050000}"/>
    <cellStyle name="Migliaia [0] 27 2 3" xfId="3891" xr:uid="{00000000-0005-0000-0000-0000CD050000}"/>
    <cellStyle name="Migliaia [0] 27 3" xfId="1839" xr:uid="{00000000-0005-0000-0000-0000CE050000}"/>
    <cellStyle name="Migliaia [0] 27 4" xfId="3128" xr:uid="{00000000-0005-0000-0000-0000CF050000}"/>
    <cellStyle name="Migliaia [0] 27 5" xfId="5504" xr:uid="{00000000-0005-0000-0000-0000D0050000}"/>
    <cellStyle name="Migliaia [0] 28" xfId="397" xr:uid="{00000000-0005-0000-0000-0000D1050000}"/>
    <cellStyle name="Migliaia [0] 28 2" xfId="398" xr:uid="{00000000-0005-0000-0000-0000D2050000}"/>
    <cellStyle name="Migliaia [0] 28 2 2" xfId="2184" xr:uid="{00000000-0005-0000-0000-0000D3050000}"/>
    <cellStyle name="Migliaia [0] 28 2 3" xfId="3892" xr:uid="{00000000-0005-0000-0000-0000D4050000}"/>
    <cellStyle name="Migliaia [0] 28 3" xfId="1840" xr:uid="{00000000-0005-0000-0000-0000D5050000}"/>
    <cellStyle name="Migliaia [0] 28 4" xfId="3129" xr:uid="{00000000-0005-0000-0000-0000D6050000}"/>
    <cellStyle name="Migliaia [0] 28 5" xfId="5505" xr:uid="{00000000-0005-0000-0000-0000D7050000}"/>
    <cellStyle name="Migliaia [0] 29" xfId="399" xr:uid="{00000000-0005-0000-0000-0000D8050000}"/>
    <cellStyle name="Migliaia [0] 29 2" xfId="400" xr:uid="{00000000-0005-0000-0000-0000D9050000}"/>
    <cellStyle name="Migliaia [0] 29 2 2" xfId="2185" xr:uid="{00000000-0005-0000-0000-0000DA050000}"/>
    <cellStyle name="Migliaia [0] 29 2 3" xfId="3893" xr:uid="{00000000-0005-0000-0000-0000DB050000}"/>
    <cellStyle name="Migliaia [0] 29 3" xfId="1841" xr:uid="{00000000-0005-0000-0000-0000DC050000}"/>
    <cellStyle name="Migliaia [0] 29 4" xfId="3130" xr:uid="{00000000-0005-0000-0000-0000DD050000}"/>
    <cellStyle name="Migliaia [0] 29 5" xfId="5506" xr:uid="{00000000-0005-0000-0000-0000DE050000}"/>
    <cellStyle name="Migliaia [0] 3" xfId="401" xr:uid="{00000000-0005-0000-0000-0000DF050000}"/>
    <cellStyle name="Migliaia [0] 3 2" xfId="402" xr:uid="{00000000-0005-0000-0000-0000E0050000}"/>
    <cellStyle name="Migliaia [0] 3 2 2" xfId="2186" xr:uid="{00000000-0005-0000-0000-0000E1050000}"/>
    <cellStyle name="Migliaia [0] 3 2 3" xfId="3894" xr:uid="{00000000-0005-0000-0000-0000E2050000}"/>
    <cellStyle name="Migliaia [0] 3 3" xfId="1842" xr:uid="{00000000-0005-0000-0000-0000E3050000}"/>
    <cellStyle name="Migliaia [0] 3 4" xfId="3131" xr:uid="{00000000-0005-0000-0000-0000E4050000}"/>
    <cellStyle name="Migliaia [0] 3 5" xfId="5507" xr:uid="{00000000-0005-0000-0000-0000E5050000}"/>
    <cellStyle name="Migliaia [0] 30" xfId="403" xr:uid="{00000000-0005-0000-0000-0000E6050000}"/>
    <cellStyle name="Migliaia [0] 30 2" xfId="404" xr:uid="{00000000-0005-0000-0000-0000E7050000}"/>
    <cellStyle name="Migliaia [0] 30 2 2" xfId="2187" xr:uid="{00000000-0005-0000-0000-0000E8050000}"/>
    <cellStyle name="Migliaia [0] 30 2 3" xfId="3895" xr:uid="{00000000-0005-0000-0000-0000E9050000}"/>
    <cellStyle name="Migliaia [0] 30 3" xfId="1843" xr:uid="{00000000-0005-0000-0000-0000EA050000}"/>
    <cellStyle name="Migliaia [0] 30 4" xfId="3132" xr:uid="{00000000-0005-0000-0000-0000EB050000}"/>
    <cellStyle name="Migliaia [0] 30 5" xfId="5508" xr:uid="{00000000-0005-0000-0000-0000EC050000}"/>
    <cellStyle name="Migliaia [0] 31" xfId="405" xr:uid="{00000000-0005-0000-0000-0000ED050000}"/>
    <cellStyle name="Migliaia [0] 31 2" xfId="406" xr:uid="{00000000-0005-0000-0000-0000EE050000}"/>
    <cellStyle name="Migliaia [0] 31 2 2" xfId="2188" xr:uid="{00000000-0005-0000-0000-0000EF050000}"/>
    <cellStyle name="Migliaia [0] 31 2 3" xfId="3896" xr:uid="{00000000-0005-0000-0000-0000F0050000}"/>
    <cellStyle name="Migliaia [0] 31 3" xfId="1844" xr:uid="{00000000-0005-0000-0000-0000F1050000}"/>
    <cellStyle name="Migliaia [0] 31 4" xfId="3133" xr:uid="{00000000-0005-0000-0000-0000F2050000}"/>
    <cellStyle name="Migliaia [0] 31 5" xfId="5509" xr:uid="{00000000-0005-0000-0000-0000F3050000}"/>
    <cellStyle name="Migliaia [0] 32" xfId="407" xr:uid="{00000000-0005-0000-0000-0000F4050000}"/>
    <cellStyle name="Migliaia [0] 32 2" xfId="408" xr:uid="{00000000-0005-0000-0000-0000F5050000}"/>
    <cellStyle name="Migliaia [0] 32 2 2" xfId="2189" xr:uid="{00000000-0005-0000-0000-0000F6050000}"/>
    <cellStyle name="Migliaia [0] 32 2 3" xfId="3897" xr:uid="{00000000-0005-0000-0000-0000F7050000}"/>
    <cellStyle name="Migliaia [0] 32 3" xfId="1845" xr:uid="{00000000-0005-0000-0000-0000F8050000}"/>
    <cellStyle name="Migliaia [0] 32 4" xfId="3134" xr:uid="{00000000-0005-0000-0000-0000F9050000}"/>
    <cellStyle name="Migliaia [0] 32 5" xfId="5510" xr:uid="{00000000-0005-0000-0000-0000FA050000}"/>
    <cellStyle name="Migliaia [0] 33" xfId="409" xr:uid="{00000000-0005-0000-0000-0000FB050000}"/>
    <cellStyle name="Migliaia [0] 33 2" xfId="410" xr:uid="{00000000-0005-0000-0000-0000FC050000}"/>
    <cellStyle name="Migliaia [0] 33 2 2" xfId="2190" xr:uid="{00000000-0005-0000-0000-0000FD050000}"/>
    <cellStyle name="Migliaia [0] 33 2 3" xfId="3898" xr:uid="{00000000-0005-0000-0000-0000FE050000}"/>
    <cellStyle name="Migliaia [0] 33 3" xfId="1846" xr:uid="{00000000-0005-0000-0000-0000FF050000}"/>
    <cellStyle name="Migliaia [0] 33 4" xfId="3135" xr:uid="{00000000-0005-0000-0000-000000060000}"/>
    <cellStyle name="Migliaia [0] 33 5" xfId="5511" xr:uid="{00000000-0005-0000-0000-000001060000}"/>
    <cellStyle name="Migliaia [0] 34" xfId="411" xr:uid="{00000000-0005-0000-0000-000002060000}"/>
    <cellStyle name="Migliaia [0] 34 2" xfId="412" xr:uid="{00000000-0005-0000-0000-000003060000}"/>
    <cellStyle name="Migliaia [0] 34 2 2" xfId="2191" xr:uid="{00000000-0005-0000-0000-000004060000}"/>
    <cellStyle name="Migliaia [0] 34 2 3" xfId="3899" xr:uid="{00000000-0005-0000-0000-000005060000}"/>
    <cellStyle name="Migliaia [0] 34 3" xfId="1847" xr:uid="{00000000-0005-0000-0000-000006060000}"/>
    <cellStyle name="Migliaia [0] 34 4" xfId="3136" xr:uid="{00000000-0005-0000-0000-000007060000}"/>
    <cellStyle name="Migliaia [0] 34 5" xfId="5512" xr:uid="{00000000-0005-0000-0000-000008060000}"/>
    <cellStyle name="Migliaia [0] 35" xfId="413" xr:uid="{00000000-0005-0000-0000-000009060000}"/>
    <cellStyle name="Migliaia [0] 35 2" xfId="414" xr:uid="{00000000-0005-0000-0000-00000A060000}"/>
    <cellStyle name="Migliaia [0] 35 2 2" xfId="2192" xr:uid="{00000000-0005-0000-0000-00000B060000}"/>
    <cellStyle name="Migliaia [0] 35 2 3" xfId="3900" xr:uid="{00000000-0005-0000-0000-00000C060000}"/>
    <cellStyle name="Migliaia [0] 35 3" xfId="1848" xr:uid="{00000000-0005-0000-0000-00000D060000}"/>
    <cellStyle name="Migliaia [0] 35 4" xfId="3137" xr:uid="{00000000-0005-0000-0000-00000E060000}"/>
    <cellStyle name="Migliaia [0] 35 5" xfId="5513" xr:uid="{00000000-0005-0000-0000-00000F060000}"/>
    <cellStyle name="Migliaia [0] 36" xfId="415" xr:uid="{00000000-0005-0000-0000-000010060000}"/>
    <cellStyle name="Migliaia [0] 36 2" xfId="416" xr:uid="{00000000-0005-0000-0000-000011060000}"/>
    <cellStyle name="Migliaia [0] 36 2 2" xfId="2193" xr:uid="{00000000-0005-0000-0000-000012060000}"/>
    <cellStyle name="Migliaia [0] 36 2 3" xfId="3901" xr:uid="{00000000-0005-0000-0000-000013060000}"/>
    <cellStyle name="Migliaia [0] 36 3" xfId="1849" xr:uid="{00000000-0005-0000-0000-000014060000}"/>
    <cellStyle name="Migliaia [0] 36 4" xfId="3138" xr:uid="{00000000-0005-0000-0000-000015060000}"/>
    <cellStyle name="Migliaia [0] 36 5" xfId="5514" xr:uid="{00000000-0005-0000-0000-000016060000}"/>
    <cellStyle name="Migliaia [0] 37" xfId="417" xr:uid="{00000000-0005-0000-0000-000017060000}"/>
    <cellStyle name="Migliaia [0] 37 2" xfId="418" xr:uid="{00000000-0005-0000-0000-000018060000}"/>
    <cellStyle name="Migliaia [0] 37 2 2" xfId="2194" xr:uid="{00000000-0005-0000-0000-000019060000}"/>
    <cellStyle name="Migliaia [0] 37 2 3" xfId="3902" xr:uid="{00000000-0005-0000-0000-00001A060000}"/>
    <cellStyle name="Migliaia [0] 37 3" xfId="1850" xr:uid="{00000000-0005-0000-0000-00001B060000}"/>
    <cellStyle name="Migliaia [0] 37 4" xfId="3139" xr:uid="{00000000-0005-0000-0000-00001C060000}"/>
    <cellStyle name="Migliaia [0] 37 5" xfId="5515" xr:uid="{00000000-0005-0000-0000-00001D060000}"/>
    <cellStyle name="Migliaia [0] 38" xfId="419" xr:uid="{00000000-0005-0000-0000-00001E060000}"/>
    <cellStyle name="Migliaia [0] 38 2" xfId="420" xr:uid="{00000000-0005-0000-0000-00001F060000}"/>
    <cellStyle name="Migliaia [0] 38 2 2" xfId="2195" xr:uid="{00000000-0005-0000-0000-000020060000}"/>
    <cellStyle name="Migliaia [0] 38 2 3" xfId="3903" xr:uid="{00000000-0005-0000-0000-000021060000}"/>
    <cellStyle name="Migliaia [0] 38 3" xfId="1851" xr:uid="{00000000-0005-0000-0000-000022060000}"/>
    <cellStyle name="Migliaia [0] 38 4" xfId="3140" xr:uid="{00000000-0005-0000-0000-000023060000}"/>
    <cellStyle name="Migliaia [0] 38 5" xfId="5516" xr:uid="{00000000-0005-0000-0000-000024060000}"/>
    <cellStyle name="Migliaia [0] 39" xfId="421" xr:uid="{00000000-0005-0000-0000-000025060000}"/>
    <cellStyle name="Migliaia [0] 39 2" xfId="422" xr:uid="{00000000-0005-0000-0000-000026060000}"/>
    <cellStyle name="Migliaia [0] 39 2 2" xfId="2196" xr:uid="{00000000-0005-0000-0000-000027060000}"/>
    <cellStyle name="Migliaia [0] 39 2 3" xfId="3904" xr:uid="{00000000-0005-0000-0000-000028060000}"/>
    <cellStyle name="Migliaia [0] 39 3" xfId="1852" xr:uid="{00000000-0005-0000-0000-000029060000}"/>
    <cellStyle name="Migliaia [0] 39 4" xfId="3141" xr:uid="{00000000-0005-0000-0000-00002A060000}"/>
    <cellStyle name="Migliaia [0] 39 5" xfId="5517" xr:uid="{00000000-0005-0000-0000-00002B060000}"/>
    <cellStyle name="Migliaia [0] 4" xfId="423" xr:uid="{00000000-0005-0000-0000-00002C060000}"/>
    <cellStyle name="Migliaia [0] 4 2" xfId="424" xr:uid="{00000000-0005-0000-0000-00002D060000}"/>
    <cellStyle name="Migliaia [0] 4 2 2" xfId="2197" xr:uid="{00000000-0005-0000-0000-00002E060000}"/>
    <cellStyle name="Migliaia [0] 4 2 3" xfId="3905" xr:uid="{00000000-0005-0000-0000-00002F060000}"/>
    <cellStyle name="Migliaia [0] 4 3" xfId="1853" xr:uid="{00000000-0005-0000-0000-000030060000}"/>
    <cellStyle name="Migliaia [0] 4 4" xfId="3142" xr:uid="{00000000-0005-0000-0000-000031060000}"/>
    <cellStyle name="Migliaia [0] 4 5" xfId="5518" xr:uid="{00000000-0005-0000-0000-000032060000}"/>
    <cellStyle name="Migliaia [0] 40" xfId="425" xr:uid="{00000000-0005-0000-0000-000033060000}"/>
    <cellStyle name="Migliaia [0] 40 2" xfId="426" xr:uid="{00000000-0005-0000-0000-000034060000}"/>
    <cellStyle name="Migliaia [0] 40 2 2" xfId="2198" xr:uid="{00000000-0005-0000-0000-000035060000}"/>
    <cellStyle name="Migliaia [0] 40 2 3" xfId="3906" xr:uid="{00000000-0005-0000-0000-000036060000}"/>
    <cellStyle name="Migliaia [0] 40 3" xfId="1854" xr:uid="{00000000-0005-0000-0000-000037060000}"/>
    <cellStyle name="Migliaia [0] 40 4" xfId="3143" xr:uid="{00000000-0005-0000-0000-000038060000}"/>
    <cellStyle name="Migliaia [0] 40 5" xfId="5519" xr:uid="{00000000-0005-0000-0000-000039060000}"/>
    <cellStyle name="Migliaia [0] 41" xfId="427" xr:uid="{00000000-0005-0000-0000-00003A060000}"/>
    <cellStyle name="Migliaia [0] 41 2" xfId="428" xr:uid="{00000000-0005-0000-0000-00003B060000}"/>
    <cellStyle name="Migliaia [0] 41 2 2" xfId="2199" xr:uid="{00000000-0005-0000-0000-00003C060000}"/>
    <cellStyle name="Migliaia [0] 41 2 3" xfId="3907" xr:uid="{00000000-0005-0000-0000-00003D060000}"/>
    <cellStyle name="Migliaia [0] 41 3" xfId="1855" xr:uid="{00000000-0005-0000-0000-00003E060000}"/>
    <cellStyle name="Migliaia [0] 41 4" xfId="3144" xr:uid="{00000000-0005-0000-0000-00003F060000}"/>
    <cellStyle name="Migliaia [0] 41 5" xfId="5520" xr:uid="{00000000-0005-0000-0000-000040060000}"/>
    <cellStyle name="Migliaia [0] 42" xfId="429" xr:uid="{00000000-0005-0000-0000-000041060000}"/>
    <cellStyle name="Migliaia [0] 42 2" xfId="430" xr:uid="{00000000-0005-0000-0000-000042060000}"/>
    <cellStyle name="Migliaia [0] 42 2 2" xfId="2200" xr:uid="{00000000-0005-0000-0000-000043060000}"/>
    <cellStyle name="Migliaia [0] 42 2 3" xfId="3908" xr:uid="{00000000-0005-0000-0000-000044060000}"/>
    <cellStyle name="Migliaia [0] 42 3" xfId="1856" xr:uid="{00000000-0005-0000-0000-000045060000}"/>
    <cellStyle name="Migliaia [0] 42 4" xfId="3145" xr:uid="{00000000-0005-0000-0000-000046060000}"/>
    <cellStyle name="Migliaia [0] 42 5" xfId="5521" xr:uid="{00000000-0005-0000-0000-000047060000}"/>
    <cellStyle name="Migliaia [0] 43" xfId="431" xr:uid="{00000000-0005-0000-0000-000048060000}"/>
    <cellStyle name="Migliaia [0] 43 2" xfId="432" xr:uid="{00000000-0005-0000-0000-000049060000}"/>
    <cellStyle name="Migliaia [0] 43 2 2" xfId="2201" xr:uid="{00000000-0005-0000-0000-00004A060000}"/>
    <cellStyle name="Migliaia [0] 43 2 3" xfId="3909" xr:uid="{00000000-0005-0000-0000-00004B060000}"/>
    <cellStyle name="Migliaia [0] 43 3" xfId="1857" xr:uid="{00000000-0005-0000-0000-00004C060000}"/>
    <cellStyle name="Migliaia [0] 43 4" xfId="3146" xr:uid="{00000000-0005-0000-0000-00004D060000}"/>
    <cellStyle name="Migliaia [0] 43 5" xfId="5522" xr:uid="{00000000-0005-0000-0000-00004E060000}"/>
    <cellStyle name="Migliaia [0] 44" xfId="433" xr:uid="{00000000-0005-0000-0000-00004F060000}"/>
    <cellStyle name="Migliaia [0] 44 2" xfId="434" xr:uid="{00000000-0005-0000-0000-000050060000}"/>
    <cellStyle name="Migliaia [0] 44 2 2" xfId="2202" xr:uid="{00000000-0005-0000-0000-000051060000}"/>
    <cellStyle name="Migliaia [0] 44 2 3" xfId="3910" xr:uid="{00000000-0005-0000-0000-000052060000}"/>
    <cellStyle name="Migliaia [0] 44 3" xfId="1858" xr:uid="{00000000-0005-0000-0000-000053060000}"/>
    <cellStyle name="Migliaia [0] 44 4" xfId="3147" xr:uid="{00000000-0005-0000-0000-000054060000}"/>
    <cellStyle name="Migliaia [0] 44 5" xfId="5523" xr:uid="{00000000-0005-0000-0000-000055060000}"/>
    <cellStyle name="Migliaia [0] 45" xfId="435" xr:uid="{00000000-0005-0000-0000-000056060000}"/>
    <cellStyle name="Migliaia [0] 45 2" xfId="436" xr:uid="{00000000-0005-0000-0000-000057060000}"/>
    <cellStyle name="Migliaia [0] 45 2 2" xfId="2203" xr:uid="{00000000-0005-0000-0000-000058060000}"/>
    <cellStyle name="Migliaia [0] 45 2 3" xfId="3911" xr:uid="{00000000-0005-0000-0000-000059060000}"/>
    <cellStyle name="Migliaia [0] 45 3" xfId="1859" xr:uid="{00000000-0005-0000-0000-00005A060000}"/>
    <cellStyle name="Migliaia [0] 45 4" xfId="3148" xr:uid="{00000000-0005-0000-0000-00005B060000}"/>
    <cellStyle name="Migliaia [0] 45 5" xfId="5524" xr:uid="{00000000-0005-0000-0000-00005C060000}"/>
    <cellStyle name="Migliaia [0] 46" xfId="437" xr:uid="{00000000-0005-0000-0000-00005D060000}"/>
    <cellStyle name="Migliaia [0] 46 2" xfId="438" xr:uid="{00000000-0005-0000-0000-00005E060000}"/>
    <cellStyle name="Migliaia [0] 46 2 2" xfId="2204" xr:uid="{00000000-0005-0000-0000-00005F060000}"/>
    <cellStyle name="Migliaia [0] 46 2 3" xfId="3912" xr:uid="{00000000-0005-0000-0000-000060060000}"/>
    <cellStyle name="Migliaia [0] 46 3" xfId="1860" xr:uid="{00000000-0005-0000-0000-000061060000}"/>
    <cellStyle name="Migliaia [0] 46 4" xfId="3149" xr:uid="{00000000-0005-0000-0000-000062060000}"/>
    <cellStyle name="Migliaia [0] 46 5" xfId="5525" xr:uid="{00000000-0005-0000-0000-000063060000}"/>
    <cellStyle name="Migliaia [0] 47" xfId="439" xr:uid="{00000000-0005-0000-0000-000064060000}"/>
    <cellStyle name="Migliaia [0] 47 2" xfId="440" xr:uid="{00000000-0005-0000-0000-000065060000}"/>
    <cellStyle name="Migliaia [0] 47 2 2" xfId="2205" xr:uid="{00000000-0005-0000-0000-000066060000}"/>
    <cellStyle name="Migliaia [0] 47 2 3" xfId="3913" xr:uid="{00000000-0005-0000-0000-000067060000}"/>
    <cellStyle name="Migliaia [0] 47 3" xfId="1861" xr:uid="{00000000-0005-0000-0000-000068060000}"/>
    <cellStyle name="Migliaia [0] 47 4" xfId="3150" xr:uid="{00000000-0005-0000-0000-000069060000}"/>
    <cellStyle name="Migliaia [0] 47 5" xfId="5526" xr:uid="{00000000-0005-0000-0000-00006A060000}"/>
    <cellStyle name="Migliaia [0] 48" xfId="441" xr:uid="{00000000-0005-0000-0000-00006B060000}"/>
    <cellStyle name="Migliaia [0] 48 2" xfId="442" xr:uid="{00000000-0005-0000-0000-00006C060000}"/>
    <cellStyle name="Migliaia [0] 48 2 2" xfId="2206" xr:uid="{00000000-0005-0000-0000-00006D060000}"/>
    <cellStyle name="Migliaia [0] 48 2 3" xfId="3914" xr:uid="{00000000-0005-0000-0000-00006E060000}"/>
    <cellStyle name="Migliaia [0] 48 3" xfId="1862" xr:uid="{00000000-0005-0000-0000-00006F060000}"/>
    <cellStyle name="Migliaia [0] 48 4" xfId="3151" xr:uid="{00000000-0005-0000-0000-000070060000}"/>
    <cellStyle name="Migliaia [0] 48 5" xfId="5527" xr:uid="{00000000-0005-0000-0000-000071060000}"/>
    <cellStyle name="Migliaia [0] 49" xfId="443" xr:uid="{00000000-0005-0000-0000-000072060000}"/>
    <cellStyle name="Migliaia [0] 49 2" xfId="444" xr:uid="{00000000-0005-0000-0000-000073060000}"/>
    <cellStyle name="Migliaia [0] 49 2 2" xfId="2207" xr:uid="{00000000-0005-0000-0000-000074060000}"/>
    <cellStyle name="Migliaia [0] 49 2 3" xfId="3915" xr:uid="{00000000-0005-0000-0000-000075060000}"/>
    <cellStyle name="Migliaia [0] 49 3" xfId="1863" xr:uid="{00000000-0005-0000-0000-000076060000}"/>
    <cellStyle name="Migliaia [0] 49 4" xfId="3152" xr:uid="{00000000-0005-0000-0000-000077060000}"/>
    <cellStyle name="Migliaia [0] 49 5" xfId="5528" xr:uid="{00000000-0005-0000-0000-000078060000}"/>
    <cellStyle name="Migliaia [0] 5" xfId="445" xr:uid="{00000000-0005-0000-0000-000079060000}"/>
    <cellStyle name="Migliaia [0] 5 2" xfId="446" xr:uid="{00000000-0005-0000-0000-00007A060000}"/>
    <cellStyle name="Migliaia [0] 5 2 2" xfId="2208" xr:uid="{00000000-0005-0000-0000-00007B060000}"/>
    <cellStyle name="Migliaia [0] 5 2 3" xfId="3916" xr:uid="{00000000-0005-0000-0000-00007C060000}"/>
    <cellStyle name="Migliaia [0] 5 3" xfId="1864" xr:uid="{00000000-0005-0000-0000-00007D060000}"/>
    <cellStyle name="Migliaia [0] 5 4" xfId="3153" xr:uid="{00000000-0005-0000-0000-00007E060000}"/>
    <cellStyle name="Migliaia [0] 5 5" xfId="5529" xr:uid="{00000000-0005-0000-0000-00007F060000}"/>
    <cellStyle name="Migliaia [0] 50" xfId="447" xr:uid="{00000000-0005-0000-0000-000080060000}"/>
    <cellStyle name="Migliaia [0] 50 2" xfId="448" xr:uid="{00000000-0005-0000-0000-000081060000}"/>
    <cellStyle name="Migliaia [0] 50 2 2" xfId="2209" xr:uid="{00000000-0005-0000-0000-000082060000}"/>
    <cellStyle name="Migliaia [0] 50 2 3" xfId="3917" xr:uid="{00000000-0005-0000-0000-000083060000}"/>
    <cellStyle name="Migliaia [0] 50 3" xfId="1865" xr:uid="{00000000-0005-0000-0000-000084060000}"/>
    <cellStyle name="Migliaia [0] 50 4" xfId="3154" xr:uid="{00000000-0005-0000-0000-000085060000}"/>
    <cellStyle name="Migliaia [0] 50 5" xfId="5530" xr:uid="{00000000-0005-0000-0000-000086060000}"/>
    <cellStyle name="Migliaia [0] 51" xfId="449" xr:uid="{00000000-0005-0000-0000-000087060000}"/>
    <cellStyle name="Migliaia [0] 51 2" xfId="450" xr:uid="{00000000-0005-0000-0000-000088060000}"/>
    <cellStyle name="Migliaia [0] 51 2 2" xfId="2210" xr:uid="{00000000-0005-0000-0000-000089060000}"/>
    <cellStyle name="Migliaia [0] 51 2 3" xfId="3918" xr:uid="{00000000-0005-0000-0000-00008A060000}"/>
    <cellStyle name="Migliaia [0] 51 3" xfId="1866" xr:uid="{00000000-0005-0000-0000-00008B060000}"/>
    <cellStyle name="Migliaia [0] 51 4" xfId="3155" xr:uid="{00000000-0005-0000-0000-00008C060000}"/>
    <cellStyle name="Migliaia [0] 51 5" xfId="5531" xr:uid="{00000000-0005-0000-0000-00008D060000}"/>
    <cellStyle name="Migliaia [0] 52" xfId="451" xr:uid="{00000000-0005-0000-0000-00008E060000}"/>
    <cellStyle name="Migliaia [0] 52 2" xfId="452" xr:uid="{00000000-0005-0000-0000-00008F060000}"/>
    <cellStyle name="Migliaia [0] 52 2 2" xfId="2211" xr:uid="{00000000-0005-0000-0000-000090060000}"/>
    <cellStyle name="Migliaia [0] 52 2 3" xfId="3919" xr:uid="{00000000-0005-0000-0000-000091060000}"/>
    <cellStyle name="Migliaia [0] 52 3" xfId="1867" xr:uid="{00000000-0005-0000-0000-000092060000}"/>
    <cellStyle name="Migliaia [0] 52 4" xfId="3156" xr:uid="{00000000-0005-0000-0000-000093060000}"/>
    <cellStyle name="Migliaia [0] 52 5" xfId="5532" xr:uid="{00000000-0005-0000-0000-000094060000}"/>
    <cellStyle name="Migliaia [0] 53" xfId="453" xr:uid="{00000000-0005-0000-0000-000095060000}"/>
    <cellStyle name="Migliaia [0] 53 2" xfId="454" xr:uid="{00000000-0005-0000-0000-000096060000}"/>
    <cellStyle name="Migliaia [0] 53 2 2" xfId="2212" xr:uid="{00000000-0005-0000-0000-000097060000}"/>
    <cellStyle name="Migliaia [0] 53 2 3" xfId="3920" xr:uid="{00000000-0005-0000-0000-000098060000}"/>
    <cellStyle name="Migliaia [0] 53 3" xfId="1868" xr:uid="{00000000-0005-0000-0000-000099060000}"/>
    <cellStyle name="Migliaia [0] 53 4" xfId="3157" xr:uid="{00000000-0005-0000-0000-00009A060000}"/>
    <cellStyle name="Migliaia [0] 53 5" xfId="5533" xr:uid="{00000000-0005-0000-0000-00009B060000}"/>
    <cellStyle name="Migliaia [0] 54" xfId="455" xr:uid="{00000000-0005-0000-0000-00009C060000}"/>
    <cellStyle name="Migliaia [0] 54 2" xfId="456" xr:uid="{00000000-0005-0000-0000-00009D060000}"/>
    <cellStyle name="Migliaia [0] 54 2 2" xfId="2213" xr:uid="{00000000-0005-0000-0000-00009E060000}"/>
    <cellStyle name="Migliaia [0] 54 2 3" xfId="3921" xr:uid="{00000000-0005-0000-0000-00009F060000}"/>
    <cellStyle name="Migliaia [0] 54 3" xfId="1869" xr:uid="{00000000-0005-0000-0000-0000A0060000}"/>
    <cellStyle name="Migliaia [0] 54 4" xfId="3158" xr:uid="{00000000-0005-0000-0000-0000A1060000}"/>
    <cellStyle name="Migliaia [0] 54 5" xfId="5534" xr:uid="{00000000-0005-0000-0000-0000A2060000}"/>
    <cellStyle name="Migliaia [0] 55" xfId="457" xr:uid="{00000000-0005-0000-0000-0000A3060000}"/>
    <cellStyle name="Migliaia [0] 55 2" xfId="458" xr:uid="{00000000-0005-0000-0000-0000A4060000}"/>
    <cellStyle name="Migliaia [0] 55 2 2" xfId="2214" xr:uid="{00000000-0005-0000-0000-0000A5060000}"/>
    <cellStyle name="Migliaia [0] 55 2 3" xfId="3922" xr:uid="{00000000-0005-0000-0000-0000A6060000}"/>
    <cellStyle name="Migliaia [0] 55 3" xfId="1870" xr:uid="{00000000-0005-0000-0000-0000A7060000}"/>
    <cellStyle name="Migliaia [0] 55 4" xfId="3159" xr:uid="{00000000-0005-0000-0000-0000A8060000}"/>
    <cellStyle name="Migliaia [0] 55 5" xfId="5535" xr:uid="{00000000-0005-0000-0000-0000A9060000}"/>
    <cellStyle name="Migliaia [0] 56" xfId="459" xr:uid="{00000000-0005-0000-0000-0000AA060000}"/>
    <cellStyle name="Migliaia [0] 56 2" xfId="460" xr:uid="{00000000-0005-0000-0000-0000AB060000}"/>
    <cellStyle name="Migliaia [0] 56 2 2" xfId="2215" xr:uid="{00000000-0005-0000-0000-0000AC060000}"/>
    <cellStyle name="Migliaia [0] 56 2 3" xfId="3923" xr:uid="{00000000-0005-0000-0000-0000AD060000}"/>
    <cellStyle name="Migliaia [0] 56 3" xfId="1871" xr:uid="{00000000-0005-0000-0000-0000AE060000}"/>
    <cellStyle name="Migliaia [0] 56 4" xfId="3160" xr:uid="{00000000-0005-0000-0000-0000AF060000}"/>
    <cellStyle name="Migliaia [0] 56 5" xfId="5536" xr:uid="{00000000-0005-0000-0000-0000B0060000}"/>
    <cellStyle name="Migliaia [0] 57" xfId="461" xr:uid="{00000000-0005-0000-0000-0000B1060000}"/>
    <cellStyle name="Migliaia [0] 57 2" xfId="462" xr:uid="{00000000-0005-0000-0000-0000B2060000}"/>
    <cellStyle name="Migliaia [0] 57 2 2" xfId="2216" xr:uid="{00000000-0005-0000-0000-0000B3060000}"/>
    <cellStyle name="Migliaia [0] 57 2 3" xfId="3924" xr:uid="{00000000-0005-0000-0000-0000B4060000}"/>
    <cellStyle name="Migliaia [0] 57 3" xfId="1872" xr:uid="{00000000-0005-0000-0000-0000B5060000}"/>
    <cellStyle name="Migliaia [0] 57 4" xfId="3161" xr:uid="{00000000-0005-0000-0000-0000B6060000}"/>
    <cellStyle name="Migliaia [0] 57 5" xfId="5537" xr:uid="{00000000-0005-0000-0000-0000B7060000}"/>
    <cellStyle name="Migliaia [0] 58" xfId="463" xr:uid="{00000000-0005-0000-0000-0000B8060000}"/>
    <cellStyle name="Migliaia [0] 58 2" xfId="464" xr:uid="{00000000-0005-0000-0000-0000B9060000}"/>
    <cellStyle name="Migliaia [0] 58 2 2" xfId="2217" xr:uid="{00000000-0005-0000-0000-0000BA060000}"/>
    <cellStyle name="Migliaia [0] 58 2 3" xfId="3925" xr:uid="{00000000-0005-0000-0000-0000BB060000}"/>
    <cellStyle name="Migliaia [0] 58 3" xfId="1873" xr:uid="{00000000-0005-0000-0000-0000BC060000}"/>
    <cellStyle name="Migliaia [0] 58 4" xfId="3162" xr:uid="{00000000-0005-0000-0000-0000BD060000}"/>
    <cellStyle name="Migliaia [0] 58 5" xfId="5538" xr:uid="{00000000-0005-0000-0000-0000BE060000}"/>
    <cellStyle name="Migliaia [0] 59" xfId="465" xr:uid="{00000000-0005-0000-0000-0000BF060000}"/>
    <cellStyle name="Migliaia [0] 59 2" xfId="466" xr:uid="{00000000-0005-0000-0000-0000C0060000}"/>
    <cellStyle name="Migliaia [0] 59 2 2" xfId="2218" xr:uid="{00000000-0005-0000-0000-0000C1060000}"/>
    <cellStyle name="Migliaia [0] 59 2 3" xfId="3926" xr:uid="{00000000-0005-0000-0000-0000C2060000}"/>
    <cellStyle name="Migliaia [0] 59 3" xfId="1874" xr:uid="{00000000-0005-0000-0000-0000C3060000}"/>
    <cellStyle name="Migliaia [0] 59 4" xfId="3163" xr:uid="{00000000-0005-0000-0000-0000C4060000}"/>
    <cellStyle name="Migliaia [0] 59 5" xfId="5539" xr:uid="{00000000-0005-0000-0000-0000C5060000}"/>
    <cellStyle name="Migliaia [0] 6" xfId="467" xr:uid="{00000000-0005-0000-0000-0000C6060000}"/>
    <cellStyle name="Migliaia [0] 6 2" xfId="468" xr:uid="{00000000-0005-0000-0000-0000C7060000}"/>
    <cellStyle name="Migliaia [0] 6 2 2" xfId="2219" xr:uid="{00000000-0005-0000-0000-0000C8060000}"/>
    <cellStyle name="Migliaia [0] 6 2 3" xfId="3927" xr:uid="{00000000-0005-0000-0000-0000C9060000}"/>
    <cellStyle name="Migliaia [0] 6 3" xfId="1875" xr:uid="{00000000-0005-0000-0000-0000CA060000}"/>
    <cellStyle name="Migliaia [0] 6 4" xfId="3164" xr:uid="{00000000-0005-0000-0000-0000CB060000}"/>
    <cellStyle name="Migliaia [0] 6 5" xfId="5540" xr:uid="{00000000-0005-0000-0000-0000CC060000}"/>
    <cellStyle name="Migliaia [0] 7" xfId="469" xr:uid="{00000000-0005-0000-0000-0000CD060000}"/>
    <cellStyle name="Migliaia [0] 7 2" xfId="470" xr:uid="{00000000-0005-0000-0000-0000CE060000}"/>
    <cellStyle name="Migliaia [0] 7 2 2" xfId="2220" xr:uid="{00000000-0005-0000-0000-0000CF060000}"/>
    <cellStyle name="Migliaia [0] 7 2 3" xfId="3928" xr:uid="{00000000-0005-0000-0000-0000D0060000}"/>
    <cellStyle name="Migliaia [0] 7 3" xfId="1876" xr:uid="{00000000-0005-0000-0000-0000D1060000}"/>
    <cellStyle name="Migliaia [0] 7 4" xfId="3165" xr:uid="{00000000-0005-0000-0000-0000D2060000}"/>
    <cellStyle name="Migliaia [0] 7 5" xfId="5541" xr:uid="{00000000-0005-0000-0000-0000D3060000}"/>
    <cellStyle name="Migliaia [0] 8" xfId="471" xr:uid="{00000000-0005-0000-0000-0000D4060000}"/>
    <cellStyle name="Migliaia [0] 8 2" xfId="472" xr:uid="{00000000-0005-0000-0000-0000D5060000}"/>
    <cellStyle name="Migliaia [0] 8 2 2" xfId="2221" xr:uid="{00000000-0005-0000-0000-0000D6060000}"/>
    <cellStyle name="Migliaia [0] 8 2 3" xfId="3929" xr:uid="{00000000-0005-0000-0000-0000D7060000}"/>
    <cellStyle name="Migliaia [0] 8 3" xfId="1877" xr:uid="{00000000-0005-0000-0000-0000D8060000}"/>
    <cellStyle name="Migliaia [0] 8 4" xfId="3166" xr:uid="{00000000-0005-0000-0000-0000D9060000}"/>
    <cellStyle name="Migliaia [0] 8 5" xfId="5542" xr:uid="{00000000-0005-0000-0000-0000DA060000}"/>
    <cellStyle name="Migliaia [0] 9" xfId="473" xr:uid="{00000000-0005-0000-0000-0000DB060000}"/>
    <cellStyle name="Migliaia [0] 9 2" xfId="474" xr:uid="{00000000-0005-0000-0000-0000DC060000}"/>
    <cellStyle name="Migliaia [0] 9 2 2" xfId="2222" xr:uid="{00000000-0005-0000-0000-0000DD060000}"/>
    <cellStyle name="Migliaia [0] 9 2 3" xfId="3930" xr:uid="{00000000-0005-0000-0000-0000DE060000}"/>
    <cellStyle name="Migliaia [0] 9 3" xfId="1878" xr:uid="{00000000-0005-0000-0000-0000DF060000}"/>
    <cellStyle name="Migliaia [0] 9 4" xfId="3167" xr:uid="{00000000-0005-0000-0000-0000E0060000}"/>
    <cellStyle name="Migliaia [0] 9 5" xfId="5543" xr:uid="{00000000-0005-0000-0000-0000E1060000}"/>
    <cellStyle name="Migliaia 10" xfId="475" xr:uid="{00000000-0005-0000-0000-0000E2060000}"/>
    <cellStyle name="Migliaia 10 2" xfId="476" xr:uid="{00000000-0005-0000-0000-0000E3060000}"/>
    <cellStyle name="Migliaia 10 2 2" xfId="2223" xr:uid="{00000000-0005-0000-0000-0000E4060000}"/>
    <cellStyle name="Migliaia 10 2 2 2" xfId="4171" xr:uid="{00000000-0005-0000-0000-0000E5060000}"/>
    <cellStyle name="Migliaia 10 2 3" xfId="3237" xr:uid="{00000000-0005-0000-0000-0000E6060000}"/>
    <cellStyle name="Migliaia 10 2 4" xfId="5544" xr:uid="{00000000-0005-0000-0000-0000E7060000}"/>
    <cellStyle name="Migliaia 10 2 5" xfId="5545" xr:uid="{00000000-0005-0000-0000-0000E8060000}"/>
    <cellStyle name="Migliaia 10 3" xfId="477" xr:uid="{00000000-0005-0000-0000-0000E9060000}"/>
    <cellStyle name="Migliaia 10 3 2" xfId="478" xr:uid="{00000000-0005-0000-0000-0000EA060000}"/>
    <cellStyle name="Migliaia 10 3 2 2" xfId="2225" xr:uid="{00000000-0005-0000-0000-0000EB060000}"/>
    <cellStyle name="Migliaia 10 3 2 3" xfId="3380" xr:uid="{00000000-0005-0000-0000-0000EC060000}"/>
    <cellStyle name="Migliaia 10 3 2 4" xfId="2224" xr:uid="{00000000-0005-0000-0000-0000ED060000}"/>
    <cellStyle name="Migliaia 10 3 2 5" xfId="5546" xr:uid="{00000000-0005-0000-0000-0000EE060000}"/>
    <cellStyle name="Migliaia 10 3 3" xfId="3381" xr:uid="{00000000-0005-0000-0000-0000EF060000}"/>
    <cellStyle name="Migliaia 10 3 3 2" xfId="4173" xr:uid="{00000000-0005-0000-0000-0000F0060000}"/>
    <cellStyle name="Migliaia 10 3 3 3" xfId="5547" xr:uid="{00000000-0005-0000-0000-0000F1060000}"/>
    <cellStyle name="Migliaia 10 3 3 4" xfId="5548" xr:uid="{00000000-0005-0000-0000-0000F2060000}"/>
    <cellStyle name="Migliaia 10 3 3 5" xfId="5549" xr:uid="{00000000-0005-0000-0000-0000F3060000}"/>
    <cellStyle name="Migliaia 10 3 4" xfId="4172" xr:uid="{00000000-0005-0000-0000-0000F4060000}"/>
    <cellStyle name="Migliaia 10 3 5" xfId="3379" xr:uid="{00000000-0005-0000-0000-0000F5060000}"/>
    <cellStyle name="Migliaia 10 3 6" xfId="5550" xr:uid="{00000000-0005-0000-0000-0000F6060000}"/>
    <cellStyle name="Migliaia 10 3 7" xfId="5551" xr:uid="{00000000-0005-0000-0000-0000F7060000}"/>
    <cellStyle name="Migliaia 10 4" xfId="479" xr:uid="{00000000-0005-0000-0000-0000F8060000}"/>
    <cellStyle name="Migliaia 10 4 2" xfId="2226" xr:uid="{00000000-0005-0000-0000-0000F9060000}"/>
    <cellStyle name="Migliaia 10 4 2 2" xfId="4175" xr:uid="{00000000-0005-0000-0000-0000FA060000}"/>
    <cellStyle name="Migliaia 10 4 2 3" xfId="3383" xr:uid="{00000000-0005-0000-0000-0000FB060000}"/>
    <cellStyle name="Migliaia 10 4 3" xfId="4174" xr:uid="{00000000-0005-0000-0000-0000FC060000}"/>
    <cellStyle name="Migliaia 10 4 4" xfId="3382" xr:uid="{00000000-0005-0000-0000-0000FD060000}"/>
    <cellStyle name="Migliaia 10 4 5" xfId="5552" xr:uid="{00000000-0005-0000-0000-0000FE060000}"/>
    <cellStyle name="Migliaia 10 4 6" xfId="5553" xr:uid="{00000000-0005-0000-0000-0000FF060000}"/>
    <cellStyle name="Migliaia 10 5" xfId="480" xr:uid="{00000000-0005-0000-0000-000000070000}"/>
    <cellStyle name="Migliaia 10 5 2" xfId="3384" xr:uid="{00000000-0005-0000-0000-000001070000}"/>
    <cellStyle name="Migliaia 10 5 3" xfId="5554" xr:uid="{00000000-0005-0000-0000-000002070000}"/>
    <cellStyle name="Migliaia 10 5 4" xfId="5555" xr:uid="{00000000-0005-0000-0000-000003070000}"/>
    <cellStyle name="Migliaia 10 5 5" xfId="5556" xr:uid="{00000000-0005-0000-0000-000004070000}"/>
    <cellStyle name="Migliaia 10 6" xfId="481" xr:uid="{00000000-0005-0000-0000-000005070000}"/>
    <cellStyle name="Migliaia 10 6 2" xfId="3168" xr:uid="{00000000-0005-0000-0000-000006070000}"/>
    <cellStyle name="Migliaia 10 7" xfId="1879" xr:uid="{00000000-0005-0000-0000-000007070000}"/>
    <cellStyle name="Migliaia 10 8" xfId="5557" xr:uid="{00000000-0005-0000-0000-000008070000}"/>
    <cellStyle name="Migliaia 10 9" xfId="5558" xr:uid="{00000000-0005-0000-0000-000009070000}"/>
    <cellStyle name="Migliaia 11" xfId="482" xr:uid="{00000000-0005-0000-0000-00000A070000}"/>
    <cellStyle name="Migliaia 11 2" xfId="483" xr:uid="{00000000-0005-0000-0000-00000B070000}"/>
    <cellStyle name="Migliaia 11 2 2" xfId="2227" xr:uid="{00000000-0005-0000-0000-00000C070000}"/>
    <cellStyle name="Migliaia 11 2 2 2" xfId="4176" xr:uid="{00000000-0005-0000-0000-00000D070000}"/>
    <cellStyle name="Migliaia 11 2 3" xfId="3238" xr:uid="{00000000-0005-0000-0000-00000E070000}"/>
    <cellStyle name="Migliaia 11 2 4" xfId="5559" xr:uid="{00000000-0005-0000-0000-00000F070000}"/>
    <cellStyle name="Migliaia 11 2 5" xfId="5560" xr:uid="{00000000-0005-0000-0000-000010070000}"/>
    <cellStyle name="Migliaia 11 3" xfId="484" xr:uid="{00000000-0005-0000-0000-000011070000}"/>
    <cellStyle name="Migliaia 11 3 2" xfId="485" xr:uid="{00000000-0005-0000-0000-000012070000}"/>
    <cellStyle name="Migliaia 11 3 2 2" xfId="2229" xr:uid="{00000000-0005-0000-0000-000013070000}"/>
    <cellStyle name="Migliaia 11 3 2 3" xfId="3386" xr:uid="{00000000-0005-0000-0000-000014070000}"/>
    <cellStyle name="Migliaia 11 3 2 4" xfId="2228" xr:uid="{00000000-0005-0000-0000-000015070000}"/>
    <cellStyle name="Migliaia 11 3 2 5" xfId="5561" xr:uid="{00000000-0005-0000-0000-000016070000}"/>
    <cellStyle name="Migliaia 11 3 3" xfId="3387" xr:uid="{00000000-0005-0000-0000-000017070000}"/>
    <cellStyle name="Migliaia 11 3 3 2" xfId="4178" xr:uid="{00000000-0005-0000-0000-000018070000}"/>
    <cellStyle name="Migliaia 11 3 3 3" xfId="5562" xr:uid="{00000000-0005-0000-0000-000019070000}"/>
    <cellStyle name="Migliaia 11 3 3 4" xfId="5563" xr:uid="{00000000-0005-0000-0000-00001A070000}"/>
    <cellStyle name="Migliaia 11 3 3 5" xfId="5564" xr:uid="{00000000-0005-0000-0000-00001B070000}"/>
    <cellStyle name="Migliaia 11 3 4" xfId="4177" xr:uid="{00000000-0005-0000-0000-00001C070000}"/>
    <cellStyle name="Migliaia 11 3 5" xfId="3385" xr:uid="{00000000-0005-0000-0000-00001D070000}"/>
    <cellStyle name="Migliaia 11 3 6" xfId="5565" xr:uid="{00000000-0005-0000-0000-00001E070000}"/>
    <cellStyle name="Migliaia 11 3 7" xfId="5566" xr:uid="{00000000-0005-0000-0000-00001F070000}"/>
    <cellStyle name="Migliaia 11 4" xfId="486" xr:uid="{00000000-0005-0000-0000-000020070000}"/>
    <cellStyle name="Migliaia 11 4 2" xfId="2230" xr:uid="{00000000-0005-0000-0000-000021070000}"/>
    <cellStyle name="Migliaia 11 4 2 2" xfId="4180" xr:uid="{00000000-0005-0000-0000-000022070000}"/>
    <cellStyle name="Migliaia 11 4 2 3" xfId="3389" xr:uid="{00000000-0005-0000-0000-000023070000}"/>
    <cellStyle name="Migliaia 11 4 3" xfId="4179" xr:uid="{00000000-0005-0000-0000-000024070000}"/>
    <cellStyle name="Migliaia 11 4 4" xfId="3388" xr:uid="{00000000-0005-0000-0000-000025070000}"/>
    <cellStyle name="Migliaia 11 4 5" xfId="5567" xr:uid="{00000000-0005-0000-0000-000026070000}"/>
    <cellStyle name="Migliaia 11 4 6" xfId="5568" xr:uid="{00000000-0005-0000-0000-000027070000}"/>
    <cellStyle name="Migliaia 11 5" xfId="487" xr:uid="{00000000-0005-0000-0000-000028070000}"/>
    <cellStyle name="Migliaia 11 5 2" xfId="3390" xr:uid="{00000000-0005-0000-0000-000029070000}"/>
    <cellStyle name="Migliaia 11 5 3" xfId="5569" xr:uid="{00000000-0005-0000-0000-00002A070000}"/>
    <cellStyle name="Migliaia 11 5 4" xfId="5570" xr:uid="{00000000-0005-0000-0000-00002B070000}"/>
    <cellStyle name="Migliaia 11 5 5" xfId="5571" xr:uid="{00000000-0005-0000-0000-00002C070000}"/>
    <cellStyle name="Migliaia 11 6" xfId="488" xr:uid="{00000000-0005-0000-0000-00002D070000}"/>
    <cellStyle name="Migliaia 11 6 2" xfId="3169" xr:uid="{00000000-0005-0000-0000-00002E070000}"/>
    <cellStyle name="Migliaia 11 7" xfId="1880" xr:uid="{00000000-0005-0000-0000-00002F070000}"/>
    <cellStyle name="Migliaia 11 8" xfId="5572" xr:uid="{00000000-0005-0000-0000-000030070000}"/>
    <cellStyle name="Migliaia 11 9" xfId="5573" xr:uid="{00000000-0005-0000-0000-000031070000}"/>
    <cellStyle name="Migliaia 12" xfId="489" xr:uid="{00000000-0005-0000-0000-000032070000}"/>
    <cellStyle name="Migliaia 12 2" xfId="490" xr:uid="{00000000-0005-0000-0000-000033070000}"/>
    <cellStyle name="Migliaia 12 2 2" xfId="2231" xr:uid="{00000000-0005-0000-0000-000034070000}"/>
    <cellStyle name="Migliaia 12 2 2 2" xfId="4181" xr:uid="{00000000-0005-0000-0000-000035070000}"/>
    <cellStyle name="Migliaia 12 2 3" xfId="3239" xr:uid="{00000000-0005-0000-0000-000036070000}"/>
    <cellStyle name="Migliaia 12 2 4" xfId="5574" xr:uid="{00000000-0005-0000-0000-000037070000}"/>
    <cellStyle name="Migliaia 12 2 5" xfId="5575" xr:uid="{00000000-0005-0000-0000-000038070000}"/>
    <cellStyle name="Migliaia 12 3" xfId="491" xr:uid="{00000000-0005-0000-0000-000039070000}"/>
    <cellStyle name="Migliaia 12 3 2" xfId="492" xr:uid="{00000000-0005-0000-0000-00003A070000}"/>
    <cellStyle name="Migliaia 12 3 2 2" xfId="2233" xr:uid="{00000000-0005-0000-0000-00003B070000}"/>
    <cellStyle name="Migliaia 12 3 2 3" xfId="3392" xr:uid="{00000000-0005-0000-0000-00003C070000}"/>
    <cellStyle name="Migliaia 12 3 2 4" xfId="2232" xr:uid="{00000000-0005-0000-0000-00003D070000}"/>
    <cellStyle name="Migliaia 12 3 2 5" xfId="5576" xr:uid="{00000000-0005-0000-0000-00003E070000}"/>
    <cellStyle name="Migliaia 12 3 3" xfId="3393" xr:uid="{00000000-0005-0000-0000-00003F070000}"/>
    <cellStyle name="Migliaia 12 3 3 2" xfId="4183" xr:uid="{00000000-0005-0000-0000-000040070000}"/>
    <cellStyle name="Migliaia 12 3 3 3" xfId="5577" xr:uid="{00000000-0005-0000-0000-000041070000}"/>
    <cellStyle name="Migliaia 12 3 3 4" xfId="5578" xr:uid="{00000000-0005-0000-0000-000042070000}"/>
    <cellStyle name="Migliaia 12 3 3 5" xfId="5579" xr:uid="{00000000-0005-0000-0000-000043070000}"/>
    <cellStyle name="Migliaia 12 3 4" xfId="4182" xr:uid="{00000000-0005-0000-0000-000044070000}"/>
    <cellStyle name="Migliaia 12 3 5" xfId="3391" xr:uid="{00000000-0005-0000-0000-000045070000}"/>
    <cellStyle name="Migliaia 12 3 6" xfId="5580" xr:uid="{00000000-0005-0000-0000-000046070000}"/>
    <cellStyle name="Migliaia 12 3 7" xfId="5581" xr:uid="{00000000-0005-0000-0000-000047070000}"/>
    <cellStyle name="Migliaia 12 4" xfId="493" xr:uid="{00000000-0005-0000-0000-000048070000}"/>
    <cellStyle name="Migliaia 12 4 2" xfId="2234" xr:uid="{00000000-0005-0000-0000-000049070000}"/>
    <cellStyle name="Migliaia 12 4 2 2" xfId="4185" xr:uid="{00000000-0005-0000-0000-00004A070000}"/>
    <cellStyle name="Migliaia 12 4 2 3" xfId="3395" xr:uid="{00000000-0005-0000-0000-00004B070000}"/>
    <cellStyle name="Migliaia 12 4 3" xfId="4184" xr:uid="{00000000-0005-0000-0000-00004C070000}"/>
    <cellStyle name="Migliaia 12 4 4" xfId="3394" xr:uid="{00000000-0005-0000-0000-00004D070000}"/>
    <cellStyle name="Migliaia 12 4 5" xfId="5582" xr:uid="{00000000-0005-0000-0000-00004E070000}"/>
    <cellStyle name="Migliaia 12 4 6" xfId="5583" xr:uid="{00000000-0005-0000-0000-00004F070000}"/>
    <cellStyle name="Migliaia 12 5" xfId="494" xr:uid="{00000000-0005-0000-0000-000050070000}"/>
    <cellStyle name="Migliaia 12 5 2" xfId="3396" xr:uid="{00000000-0005-0000-0000-000051070000}"/>
    <cellStyle name="Migliaia 12 5 3" xfId="5584" xr:uid="{00000000-0005-0000-0000-000052070000}"/>
    <cellStyle name="Migliaia 12 5 4" xfId="5585" xr:uid="{00000000-0005-0000-0000-000053070000}"/>
    <cellStyle name="Migliaia 12 5 5" xfId="5586" xr:uid="{00000000-0005-0000-0000-000054070000}"/>
    <cellStyle name="Migliaia 12 6" xfId="495" xr:uid="{00000000-0005-0000-0000-000055070000}"/>
    <cellStyle name="Migliaia 12 6 2" xfId="3170" xr:uid="{00000000-0005-0000-0000-000056070000}"/>
    <cellStyle name="Migliaia 12 7" xfId="1881" xr:uid="{00000000-0005-0000-0000-000057070000}"/>
    <cellStyle name="Migliaia 12 8" xfId="5587" xr:uid="{00000000-0005-0000-0000-000058070000}"/>
    <cellStyle name="Migliaia 12 9" xfId="5588" xr:uid="{00000000-0005-0000-0000-000059070000}"/>
    <cellStyle name="Migliaia 13" xfId="496" xr:uid="{00000000-0005-0000-0000-00005A070000}"/>
    <cellStyle name="Migliaia 13 2" xfId="497" xr:uid="{00000000-0005-0000-0000-00005B070000}"/>
    <cellStyle name="Migliaia 13 2 2" xfId="2235" xr:uid="{00000000-0005-0000-0000-00005C070000}"/>
    <cellStyle name="Migliaia 13 2 2 2" xfId="4186" xr:uid="{00000000-0005-0000-0000-00005D070000}"/>
    <cellStyle name="Migliaia 13 2 3" xfId="3240" xr:uid="{00000000-0005-0000-0000-00005E070000}"/>
    <cellStyle name="Migliaia 13 2 4" xfId="5589" xr:uid="{00000000-0005-0000-0000-00005F070000}"/>
    <cellStyle name="Migliaia 13 2 5" xfId="5590" xr:uid="{00000000-0005-0000-0000-000060070000}"/>
    <cellStyle name="Migliaia 13 3" xfId="498" xr:uid="{00000000-0005-0000-0000-000061070000}"/>
    <cellStyle name="Migliaia 13 3 2" xfId="499" xr:uid="{00000000-0005-0000-0000-000062070000}"/>
    <cellStyle name="Migliaia 13 3 2 2" xfId="2237" xr:uid="{00000000-0005-0000-0000-000063070000}"/>
    <cellStyle name="Migliaia 13 3 2 3" xfId="3398" xr:uid="{00000000-0005-0000-0000-000064070000}"/>
    <cellStyle name="Migliaia 13 3 2 4" xfId="2236" xr:uid="{00000000-0005-0000-0000-000065070000}"/>
    <cellStyle name="Migliaia 13 3 2 5" xfId="5591" xr:uid="{00000000-0005-0000-0000-000066070000}"/>
    <cellStyle name="Migliaia 13 3 3" xfId="3399" xr:uid="{00000000-0005-0000-0000-000067070000}"/>
    <cellStyle name="Migliaia 13 3 3 2" xfId="4188" xr:uid="{00000000-0005-0000-0000-000068070000}"/>
    <cellStyle name="Migliaia 13 3 3 3" xfId="5592" xr:uid="{00000000-0005-0000-0000-000069070000}"/>
    <cellStyle name="Migliaia 13 3 3 4" xfId="5593" xr:uid="{00000000-0005-0000-0000-00006A070000}"/>
    <cellStyle name="Migliaia 13 3 3 5" xfId="5594" xr:uid="{00000000-0005-0000-0000-00006B070000}"/>
    <cellStyle name="Migliaia 13 3 4" xfId="4187" xr:uid="{00000000-0005-0000-0000-00006C070000}"/>
    <cellStyle name="Migliaia 13 3 5" xfId="3397" xr:uid="{00000000-0005-0000-0000-00006D070000}"/>
    <cellStyle name="Migliaia 13 3 6" xfId="5595" xr:uid="{00000000-0005-0000-0000-00006E070000}"/>
    <cellStyle name="Migliaia 13 3 7" xfId="5596" xr:uid="{00000000-0005-0000-0000-00006F070000}"/>
    <cellStyle name="Migliaia 13 4" xfId="500" xr:uid="{00000000-0005-0000-0000-000070070000}"/>
    <cellStyle name="Migliaia 13 4 2" xfId="2238" xr:uid="{00000000-0005-0000-0000-000071070000}"/>
    <cellStyle name="Migliaia 13 4 2 2" xfId="4190" xr:uid="{00000000-0005-0000-0000-000072070000}"/>
    <cellStyle name="Migliaia 13 4 2 3" xfId="3401" xr:uid="{00000000-0005-0000-0000-000073070000}"/>
    <cellStyle name="Migliaia 13 4 3" xfId="4189" xr:uid="{00000000-0005-0000-0000-000074070000}"/>
    <cellStyle name="Migliaia 13 4 4" xfId="3400" xr:uid="{00000000-0005-0000-0000-000075070000}"/>
    <cellStyle name="Migliaia 13 4 5" xfId="5597" xr:uid="{00000000-0005-0000-0000-000076070000}"/>
    <cellStyle name="Migliaia 13 4 6" xfId="5598" xr:uid="{00000000-0005-0000-0000-000077070000}"/>
    <cellStyle name="Migliaia 13 5" xfId="501" xr:uid="{00000000-0005-0000-0000-000078070000}"/>
    <cellStyle name="Migliaia 13 5 2" xfId="3402" xr:uid="{00000000-0005-0000-0000-000079070000}"/>
    <cellStyle name="Migliaia 13 5 3" xfId="5599" xr:uid="{00000000-0005-0000-0000-00007A070000}"/>
    <cellStyle name="Migliaia 13 5 4" xfId="5600" xr:uid="{00000000-0005-0000-0000-00007B070000}"/>
    <cellStyle name="Migliaia 13 5 5" xfId="5601" xr:uid="{00000000-0005-0000-0000-00007C070000}"/>
    <cellStyle name="Migliaia 13 6" xfId="502" xr:uid="{00000000-0005-0000-0000-00007D070000}"/>
    <cellStyle name="Migliaia 13 6 2" xfId="3171" xr:uid="{00000000-0005-0000-0000-00007E070000}"/>
    <cellStyle name="Migliaia 13 7" xfId="1882" xr:uid="{00000000-0005-0000-0000-00007F070000}"/>
    <cellStyle name="Migliaia 13 8" xfId="5602" xr:uid="{00000000-0005-0000-0000-000080070000}"/>
    <cellStyle name="Migliaia 13 9" xfId="5603" xr:uid="{00000000-0005-0000-0000-000081070000}"/>
    <cellStyle name="Migliaia 14" xfId="503" xr:uid="{00000000-0005-0000-0000-000082070000}"/>
    <cellStyle name="Migliaia 14 2" xfId="504" xr:uid="{00000000-0005-0000-0000-000083070000}"/>
    <cellStyle name="Migliaia 14 2 2" xfId="2239" xr:uid="{00000000-0005-0000-0000-000084070000}"/>
    <cellStyle name="Migliaia 14 2 2 2" xfId="4191" xr:uid="{00000000-0005-0000-0000-000085070000}"/>
    <cellStyle name="Migliaia 14 2 3" xfId="3241" xr:uid="{00000000-0005-0000-0000-000086070000}"/>
    <cellStyle name="Migliaia 14 2 4" xfId="5604" xr:uid="{00000000-0005-0000-0000-000087070000}"/>
    <cellStyle name="Migliaia 14 2 5" xfId="5605" xr:uid="{00000000-0005-0000-0000-000088070000}"/>
    <cellStyle name="Migliaia 14 3" xfId="505" xr:uid="{00000000-0005-0000-0000-000089070000}"/>
    <cellStyle name="Migliaia 14 3 2" xfId="506" xr:uid="{00000000-0005-0000-0000-00008A070000}"/>
    <cellStyle name="Migliaia 14 3 2 2" xfId="2241" xr:uid="{00000000-0005-0000-0000-00008B070000}"/>
    <cellStyle name="Migliaia 14 3 2 3" xfId="3404" xr:uid="{00000000-0005-0000-0000-00008C070000}"/>
    <cellStyle name="Migliaia 14 3 2 4" xfId="2240" xr:uid="{00000000-0005-0000-0000-00008D070000}"/>
    <cellStyle name="Migliaia 14 3 2 5" xfId="5606" xr:uid="{00000000-0005-0000-0000-00008E070000}"/>
    <cellStyle name="Migliaia 14 3 3" xfId="3405" xr:uid="{00000000-0005-0000-0000-00008F070000}"/>
    <cellStyle name="Migliaia 14 3 3 2" xfId="4193" xr:uid="{00000000-0005-0000-0000-000090070000}"/>
    <cellStyle name="Migliaia 14 3 3 3" xfId="5607" xr:uid="{00000000-0005-0000-0000-000091070000}"/>
    <cellStyle name="Migliaia 14 3 3 4" xfId="5608" xr:uid="{00000000-0005-0000-0000-000092070000}"/>
    <cellStyle name="Migliaia 14 3 3 5" xfId="5609" xr:uid="{00000000-0005-0000-0000-000093070000}"/>
    <cellStyle name="Migliaia 14 3 4" xfId="4192" xr:uid="{00000000-0005-0000-0000-000094070000}"/>
    <cellStyle name="Migliaia 14 3 5" xfId="3403" xr:uid="{00000000-0005-0000-0000-000095070000}"/>
    <cellStyle name="Migliaia 14 3 6" xfId="5610" xr:uid="{00000000-0005-0000-0000-000096070000}"/>
    <cellStyle name="Migliaia 14 3 7" xfId="5611" xr:uid="{00000000-0005-0000-0000-000097070000}"/>
    <cellStyle name="Migliaia 14 4" xfId="507" xr:uid="{00000000-0005-0000-0000-000098070000}"/>
    <cellStyle name="Migliaia 14 4 2" xfId="2242" xr:uid="{00000000-0005-0000-0000-000099070000}"/>
    <cellStyle name="Migliaia 14 4 2 2" xfId="4195" xr:uid="{00000000-0005-0000-0000-00009A070000}"/>
    <cellStyle name="Migliaia 14 4 2 3" xfId="3407" xr:uid="{00000000-0005-0000-0000-00009B070000}"/>
    <cellStyle name="Migliaia 14 4 3" xfId="4194" xr:uid="{00000000-0005-0000-0000-00009C070000}"/>
    <cellStyle name="Migliaia 14 4 4" xfId="3406" xr:uid="{00000000-0005-0000-0000-00009D070000}"/>
    <cellStyle name="Migliaia 14 4 5" xfId="5612" xr:uid="{00000000-0005-0000-0000-00009E070000}"/>
    <cellStyle name="Migliaia 14 4 6" xfId="5613" xr:uid="{00000000-0005-0000-0000-00009F070000}"/>
    <cellStyle name="Migliaia 14 5" xfId="508" xr:uid="{00000000-0005-0000-0000-0000A0070000}"/>
    <cellStyle name="Migliaia 14 5 2" xfId="3408" xr:uid="{00000000-0005-0000-0000-0000A1070000}"/>
    <cellStyle name="Migliaia 14 5 3" xfId="5614" xr:uid="{00000000-0005-0000-0000-0000A2070000}"/>
    <cellStyle name="Migliaia 14 5 4" xfId="5615" xr:uid="{00000000-0005-0000-0000-0000A3070000}"/>
    <cellStyle name="Migliaia 14 5 5" xfId="5616" xr:uid="{00000000-0005-0000-0000-0000A4070000}"/>
    <cellStyle name="Migliaia 14 6" xfId="509" xr:uid="{00000000-0005-0000-0000-0000A5070000}"/>
    <cellStyle name="Migliaia 14 6 2" xfId="3172" xr:uid="{00000000-0005-0000-0000-0000A6070000}"/>
    <cellStyle name="Migliaia 14 7" xfId="1883" xr:uid="{00000000-0005-0000-0000-0000A7070000}"/>
    <cellStyle name="Migliaia 14 8" xfId="5617" xr:uid="{00000000-0005-0000-0000-0000A8070000}"/>
    <cellStyle name="Migliaia 14 9" xfId="5618" xr:uid="{00000000-0005-0000-0000-0000A9070000}"/>
    <cellStyle name="Migliaia 15" xfId="510" xr:uid="{00000000-0005-0000-0000-0000AA070000}"/>
    <cellStyle name="Migliaia 15 2" xfId="511" xr:uid="{00000000-0005-0000-0000-0000AB070000}"/>
    <cellStyle name="Migliaia 15 2 2" xfId="2243" xr:uid="{00000000-0005-0000-0000-0000AC070000}"/>
    <cellStyle name="Migliaia 15 2 2 2" xfId="4196" xr:uid="{00000000-0005-0000-0000-0000AD070000}"/>
    <cellStyle name="Migliaia 15 2 3" xfId="3242" xr:uid="{00000000-0005-0000-0000-0000AE070000}"/>
    <cellStyle name="Migliaia 15 2 4" xfId="5619" xr:uid="{00000000-0005-0000-0000-0000AF070000}"/>
    <cellStyle name="Migliaia 15 2 5" xfId="5620" xr:uid="{00000000-0005-0000-0000-0000B0070000}"/>
    <cellStyle name="Migliaia 15 3" xfId="512" xr:uid="{00000000-0005-0000-0000-0000B1070000}"/>
    <cellStyle name="Migliaia 15 3 2" xfId="513" xr:uid="{00000000-0005-0000-0000-0000B2070000}"/>
    <cellStyle name="Migliaia 15 3 2 2" xfId="2245" xr:uid="{00000000-0005-0000-0000-0000B3070000}"/>
    <cellStyle name="Migliaia 15 3 2 3" xfId="3410" xr:uid="{00000000-0005-0000-0000-0000B4070000}"/>
    <cellStyle name="Migliaia 15 3 2 4" xfId="2244" xr:uid="{00000000-0005-0000-0000-0000B5070000}"/>
    <cellStyle name="Migliaia 15 3 2 5" xfId="5621" xr:uid="{00000000-0005-0000-0000-0000B6070000}"/>
    <cellStyle name="Migliaia 15 3 3" xfId="3411" xr:uid="{00000000-0005-0000-0000-0000B7070000}"/>
    <cellStyle name="Migliaia 15 3 3 2" xfId="4198" xr:uid="{00000000-0005-0000-0000-0000B8070000}"/>
    <cellStyle name="Migliaia 15 3 3 3" xfId="5622" xr:uid="{00000000-0005-0000-0000-0000B9070000}"/>
    <cellStyle name="Migliaia 15 3 3 4" xfId="5623" xr:uid="{00000000-0005-0000-0000-0000BA070000}"/>
    <cellStyle name="Migliaia 15 3 3 5" xfId="5624" xr:uid="{00000000-0005-0000-0000-0000BB070000}"/>
    <cellStyle name="Migliaia 15 3 4" xfId="4197" xr:uid="{00000000-0005-0000-0000-0000BC070000}"/>
    <cellStyle name="Migliaia 15 3 5" xfId="3409" xr:uid="{00000000-0005-0000-0000-0000BD070000}"/>
    <cellStyle name="Migliaia 15 3 6" xfId="5625" xr:uid="{00000000-0005-0000-0000-0000BE070000}"/>
    <cellStyle name="Migliaia 15 3 7" xfId="5626" xr:uid="{00000000-0005-0000-0000-0000BF070000}"/>
    <cellStyle name="Migliaia 15 4" xfId="514" xr:uid="{00000000-0005-0000-0000-0000C0070000}"/>
    <cellStyle name="Migliaia 15 4 2" xfId="2246" xr:uid="{00000000-0005-0000-0000-0000C1070000}"/>
    <cellStyle name="Migliaia 15 4 2 2" xfId="4200" xr:uid="{00000000-0005-0000-0000-0000C2070000}"/>
    <cellStyle name="Migliaia 15 4 2 3" xfId="3413" xr:uid="{00000000-0005-0000-0000-0000C3070000}"/>
    <cellStyle name="Migliaia 15 4 3" xfId="4199" xr:uid="{00000000-0005-0000-0000-0000C4070000}"/>
    <cellStyle name="Migliaia 15 4 4" xfId="3412" xr:uid="{00000000-0005-0000-0000-0000C5070000}"/>
    <cellStyle name="Migliaia 15 4 5" xfId="5627" xr:uid="{00000000-0005-0000-0000-0000C6070000}"/>
    <cellStyle name="Migliaia 15 4 6" xfId="5628" xr:uid="{00000000-0005-0000-0000-0000C7070000}"/>
    <cellStyle name="Migliaia 15 5" xfId="515" xr:uid="{00000000-0005-0000-0000-0000C8070000}"/>
    <cellStyle name="Migliaia 15 5 2" xfId="3414" xr:uid="{00000000-0005-0000-0000-0000C9070000}"/>
    <cellStyle name="Migliaia 15 5 3" xfId="5629" xr:uid="{00000000-0005-0000-0000-0000CA070000}"/>
    <cellStyle name="Migliaia 15 5 4" xfId="5630" xr:uid="{00000000-0005-0000-0000-0000CB070000}"/>
    <cellStyle name="Migliaia 15 5 5" xfId="5631" xr:uid="{00000000-0005-0000-0000-0000CC070000}"/>
    <cellStyle name="Migliaia 15 6" xfId="516" xr:uid="{00000000-0005-0000-0000-0000CD070000}"/>
    <cellStyle name="Migliaia 15 6 2" xfId="3173" xr:uid="{00000000-0005-0000-0000-0000CE070000}"/>
    <cellStyle name="Migliaia 15 7" xfId="1884" xr:uid="{00000000-0005-0000-0000-0000CF070000}"/>
    <cellStyle name="Migliaia 15 8" xfId="5632" xr:uid="{00000000-0005-0000-0000-0000D0070000}"/>
    <cellStyle name="Migliaia 15 9" xfId="5633" xr:uid="{00000000-0005-0000-0000-0000D1070000}"/>
    <cellStyle name="Migliaia 16" xfId="517" xr:uid="{00000000-0005-0000-0000-0000D2070000}"/>
    <cellStyle name="Migliaia 16 2" xfId="518" xr:uid="{00000000-0005-0000-0000-0000D3070000}"/>
    <cellStyle name="Migliaia 16 2 2" xfId="2247" xr:uid="{00000000-0005-0000-0000-0000D4070000}"/>
    <cellStyle name="Migliaia 16 2 2 2" xfId="4201" xr:uid="{00000000-0005-0000-0000-0000D5070000}"/>
    <cellStyle name="Migliaia 16 2 3" xfId="3243" xr:uid="{00000000-0005-0000-0000-0000D6070000}"/>
    <cellStyle name="Migliaia 16 2 4" xfId="5634" xr:uid="{00000000-0005-0000-0000-0000D7070000}"/>
    <cellStyle name="Migliaia 16 2 5" xfId="5635" xr:uid="{00000000-0005-0000-0000-0000D8070000}"/>
    <cellStyle name="Migliaia 16 3" xfId="519" xr:uid="{00000000-0005-0000-0000-0000D9070000}"/>
    <cellStyle name="Migliaia 16 3 2" xfId="520" xr:uid="{00000000-0005-0000-0000-0000DA070000}"/>
    <cellStyle name="Migliaia 16 3 2 2" xfId="2249" xr:uid="{00000000-0005-0000-0000-0000DB070000}"/>
    <cellStyle name="Migliaia 16 3 2 3" xfId="3416" xr:uid="{00000000-0005-0000-0000-0000DC070000}"/>
    <cellStyle name="Migliaia 16 3 2 4" xfId="2248" xr:uid="{00000000-0005-0000-0000-0000DD070000}"/>
    <cellStyle name="Migliaia 16 3 2 5" xfId="5636" xr:uid="{00000000-0005-0000-0000-0000DE070000}"/>
    <cellStyle name="Migliaia 16 3 3" xfId="3417" xr:uid="{00000000-0005-0000-0000-0000DF070000}"/>
    <cellStyle name="Migliaia 16 3 3 2" xfId="4203" xr:uid="{00000000-0005-0000-0000-0000E0070000}"/>
    <cellStyle name="Migliaia 16 3 3 3" xfId="5637" xr:uid="{00000000-0005-0000-0000-0000E1070000}"/>
    <cellStyle name="Migliaia 16 3 3 4" xfId="5638" xr:uid="{00000000-0005-0000-0000-0000E2070000}"/>
    <cellStyle name="Migliaia 16 3 3 5" xfId="5639" xr:uid="{00000000-0005-0000-0000-0000E3070000}"/>
    <cellStyle name="Migliaia 16 3 4" xfId="4202" xr:uid="{00000000-0005-0000-0000-0000E4070000}"/>
    <cellStyle name="Migliaia 16 3 5" xfId="3415" xr:uid="{00000000-0005-0000-0000-0000E5070000}"/>
    <cellStyle name="Migliaia 16 3 6" xfId="5640" xr:uid="{00000000-0005-0000-0000-0000E6070000}"/>
    <cellStyle name="Migliaia 16 3 7" xfId="5641" xr:uid="{00000000-0005-0000-0000-0000E7070000}"/>
    <cellStyle name="Migliaia 16 4" xfId="521" xr:uid="{00000000-0005-0000-0000-0000E8070000}"/>
    <cellStyle name="Migliaia 16 4 2" xfId="2250" xr:uid="{00000000-0005-0000-0000-0000E9070000}"/>
    <cellStyle name="Migliaia 16 4 2 2" xfId="4205" xr:uid="{00000000-0005-0000-0000-0000EA070000}"/>
    <cellStyle name="Migliaia 16 4 2 3" xfId="3419" xr:uid="{00000000-0005-0000-0000-0000EB070000}"/>
    <cellStyle name="Migliaia 16 4 3" xfId="4204" xr:uid="{00000000-0005-0000-0000-0000EC070000}"/>
    <cellStyle name="Migliaia 16 4 4" xfId="3418" xr:uid="{00000000-0005-0000-0000-0000ED070000}"/>
    <cellStyle name="Migliaia 16 4 5" xfId="5642" xr:uid="{00000000-0005-0000-0000-0000EE070000}"/>
    <cellStyle name="Migliaia 16 4 6" xfId="5643" xr:uid="{00000000-0005-0000-0000-0000EF070000}"/>
    <cellStyle name="Migliaia 16 5" xfId="522" xr:uid="{00000000-0005-0000-0000-0000F0070000}"/>
    <cellStyle name="Migliaia 16 5 2" xfId="3420" xr:uid="{00000000-0005-0000-0000-0000F1070000}"/>
    <cellStyle name="Migliaia 16 5 3" xfId="5644" xr:uid="{00000000-0005-0000-0000-0000F2070000}"/>
    <cellStyle name="Migliaia 16 5 4" xfId="5645" xr:uid="{00000000-0005-0000-0000-0000F3070000}"/>
    <cellStyle name="Migliaia 16 5 5" xfId="5646" xr:uid="{00000000-0005-0000-0000-0000F4070000}"/>
    <cellStyle name="Migliaia 16 6" xfId="523" xr:uid="{00000000-0005-0000-0000-0000F5070000}"/>
    <cellStyle name="Migliaia 16 6 2" xfId="3174" xr:uid="{00000000-0005-0000-0000-0000F6070000}"/>
    <cellStyle name="Migliaia 16 7" xfId="1885" xr:uid="{00000000-0005-0000-0000-0000F7070000}"/>
    <cellStyle name="Migliaia 16 8" xfId="5647" xr:uid="{00000000-0005-0000-0000-0000F8070000}"/>
    <cellStyle name="Migliaia 16 9" xfId="5648" xr:uid="{00000000-0005-0000-0000-0000F9070000}"/>
    <cellStyle name="Migliaia 17" xfId="524" xr:uid="{00000000-0005-0000-0000-0000FA070000}"/>
    <cellStyle name="Migliaia 17 2" xfId="525" xr:uid="{00000000-0005-0000-0000-0000FB070000}"/>
    <cellStyle name="Migliaia 17 2 2" xfId="2251" xr:uid="{00000000-0005-0000-0000-0000FC070000}"/>
    <cellStyle name="Migliaia 17 2 2 2" xfId="4206" xr:uid="{00000000-0005-0000-0000-0000FD070000}"/>
    <cellStyle name="Migliaia 17 2 3" xfId="3244" xr:uid="{00000000-0005-0000-0000-0000FE070000}"/>
    <cellStyle name="Migliaia 17 2 4" xfId="5649" xr:uid="{00000000-0005-0000-0000-0000FF070000}"/>
    <cellStyle name="Migliaia 17 2 5" xfId="5650" xr:uid="{00000000-0005-0000-0000-000000080000}"/>
    <cellStyle name="Migliaia 17 3" xfId="526" xr:uid="{00000000-0005-0000-0000-000001080000}"/>
    <cellStyle name="Migliaia 17 3 2" xfId="527" xr:uid="{00000000-0005-0000-0000-000002080000}"/>
    <cellStyle name="Migliaia 17 3 2 2" xfId="2253" xr:uid="{00000000-0005-0000-0000-000003080000}"/>
    <cellStyle name="Migliaia 17 3 2 3" xfId="3422" xr:uid="{00000000-0005-0000-0000-000004080000}"/>
    <cellStyle name="Migliaia 17 3 2 4" xfId="2252" xr:uid="{00000000-0005-0000-0000-000005080000}"/>
    <cellStyle name="Migliaia 17 3 2 5" xfId="5651" xr:uid="{00000000-0005-0000-0000-000006080000}"/>
    <cellStyle name="Migliaia 17 3 3" xfId="3423" xr:uid="{00000000-0005-0000-0000-000007080000}"/>
    <cellStyle name="Migliaia 17 3 3 2" xfId="4208" xr:uid="{00000000-0005-0000-0000-000008080000}"/>
    <cellStyle name="Migliaia 17 3 3 3" xfId="5652" xr:uid="{00000000-0005-0000-0000-000009080000}"/>
    <cellStyle name="Migliaia 17 3 3 4" xfId="5653" xr:uid="{00000000-0005-0000-0000-00000A080000}"/>
    <cellStyle name="Migliaia 17 3 3 5" xfId="5654" xr:uid="{00000000-0005-0000-0000-00000B080000}"/>
    <cellStyle name="Migliaia 17 3 4" xfId="4207" xr:uid="{00000000-0005-0000-0000-00000C080000}"/>
    <cellStyle name="Migliaia 17 3 5" xfId="3421" xr:uid="{00000000-0005-0000-0000-00000D080000}"/>
    <cellStyle name="Migliaia 17 3 6" xfId="5655" xr:uid="{00000000-0005-0000-0000-00000E080000}"/>
    <cellStyle name="Migliaia 17 3 7" xfId="5656" xr:uid="{00000000-0005-0000-0000-00000F080000}"/>
    <cellStyle name="Migliaia 17 4" xfId="528" xr:uid="{00000000-0005-0000-0000-000010080000}"/>
    <cellStyle name="Migliaia 17 4 2" xfId="2254" xr:uid="{00000000-0005-0000-0000-000011080000}"/>
    <cellStyle name="Migliaia 17 4 2 2" xfId="4210" xr:uid="{00000000-0005-0000-0000-000012080000}"/>
    <cellStyle name="Migliaia 17 4 2 3" xfId="3425" xr:uid="{00000000-0005-0000-0000-000013080000}"/>
    <cellStyle name="Migliaia 17 4 3" xfId="4209" xr:uid="{00000000-0005-0000-0000-000014080000}"/>
    <cellStyle name="Migliaia 17 4 4" xfId="3424" xr:uid="{00000000-0005-0000-0000-000015080000}"/>
    <cellStyle name="Migliaia 17 4 5" xfId="5657" xr:uid="{00000000-0005-0000-0000-000016080000}"/>
    <cellStyle name="Migliaia 17 4 6" xfId="5658" xr:uid="{00000000-0005-0000-0000-000017080000}"/>
    <cellStyle name="Migliaia 17 5" xfId="529" xr:uid="{00000000-0005-0000-0000-000018080000}"/>
    <cellStyle name="Migliaia 17 5 2" xfId="3426" xr:uid="{00000000-0005-0000-0000-000019080000}"/>
    <cellStyle name="Migliaia 17 5 3" xfId="5659" xr:uid="{00000000-0005-0000-0000-00001A080000}"/>
    <cellStyle name="Migliaia 17 5 4" xfId="5660" xr:uid="{00000000-0005-0000-0000-00001B080000}"/>
    <cellStyle name="Migliaia 17 5 5" xfId="5661" xr:uid="{00000000-0005-0000-0000-00001C080000}"/>
    <cellStyle name="Migliaia 17 6" xfId="530" xr:uid="{00000000-0005-0000-0000-00001D080000}"/>
    <cellStyle name="Migliaia 17 6 2" xfId="3175" xr:uid="{00000000-0005-0000-0000-00001E080000}"/>
    <cellStyle name="Migliaia 17 7" xfId="1886" xr:uid="{00000000-0005-0000-0000-00001F080000}"/>
    <cellStyle name="Migliaia 17 8" xfId="5662" xr:uid="{00000000-0005-0000-0000-000020080000}"/>
    <cellStyle name="Migliaia 17 9" xfId="5663" xr:uid="{00000000-0005-0000-0000-000021080000}"/>
    <cellStyle name="Migliaia 18" xfId="531" xr:uid="{00000000-0005-0000-0000-000022080000}"/>
    <cellStyle name="Migliaia 18 2" xfId="532" xr:uid="{00000000-0005-0000-0000-000023080000}"/>
    <cellStyle name="Migliaia 18 2 2" xfId="2255" xr:uid="{00000000-0005-0000-0000-000024080000}"/>
    <cellStyle name="Migliaia 18 2 2 2" xfId="4211" xr:uid="{00000000-0005-0000-0000-000025080000}"/>
    <cellStyle name="Migliaia 18 2 3" xfId="3245" xr:uid="{00000000-0005-0000-0000-000026080000}"/>
    <cellStyle name="Migliaia 18 2 4" xfId="5664" xr:uid="{00000000-0005-0000-0000-000027080000}"/>
    <cellStyle name="Migliaia 18 2 5" xfId="5665" xr:uid="{00000000-0005-0000-0000-000028080000}"/>
    <cellStyle name="Migliaia 18 3" xfId="533" xr:uid="{00000000-0005-0000-0000-000029080000}"/>
    <cellStyle name="Migliaia 18 3 2" xfId="534" xr:uid="{00000000-0005-0000-0000-00002A080000}"/>
    <cellStyle name="Migliaia 18 3 2 2" xfId="2257" xr:uid="{00000000-0005-0000-0000-00002B080000}"/>
    <cellStyle name="Migliaia 18 3 2 3" xfId="3428" xr:uid="{00000000-0005-0000-0000-00002C080000}"/>
    <cellStyle name="Migliaia 18 3 2 4" xfId="2256" xr:uid="{00000000-0005-0000-0000-00002D080000}"/>
    <cellStyle name="Migliaia 18 3 2 5" xfId="5666" xr:uid="{00000000-0005-0000-0000-00002E080000}"/>
    <cellStyle name="Migliaia 18 3 3" xfId="3429" xr:uid="{00000000-0005-0000-0000-00002F080000}"/>
    <cellStyle name="Migliaia 18 3 3 2" xfId="4213" xr:uid="{00000000-0005-0000-0000-000030080000}"/>
    <cellStyle name="Migliaia 18 3 3 3" xfId="5667" xr:uid="{00000000-0005-0000-0000-000031080000}"/>
    <cellStyle name="Migliaia 18 3 3 4" xfId="5668" xr:uid="{00000000-0005-0000-0000-000032080000}"/>
    <cellStyle name="Migliaia 18 3 3 5" xfId="5669" xr:uid="{00000000-0005-0000-0000-000033080000}"/>
    <cellStyle name="Migliaia 18 3 4" xfId="4212" xr:uid="{00000000-0005-0000-0000-000034080000}"/>
    <cellStyle name="Migliaia 18 3 5" xfId="3427" xr:uid="{00000000-0005-0000-0000-000035080000}"/>
    <cellStyle name="Migliaia 18 3 6" xfId="5670" xr:uid="{00000000-0005-0000-0000-000036080000}"/>
    <cellStyle name="Migliaia 18 3 7" xfId="5671" xr:uid="{00000000-0005-0000-0000-000037080000}"/>
    <cellStyle name="Migliaia 18 4" xfId="535" xr:uid="{00000000-0005-0000-0000-000038080000}"/>
    <cellStyle name="Migliaia 18 4 2" xfId="2258" xr:uid="{00000000-0005-0000-0000-000039080000}"/>
    <cellStyle name="Migliaia 18 4 2 2" xfId="4215" xr:uid="{00000000-0005-0000-0000-00003A080000}"/>
    <cellStyle name="Migliaia 18 4 2 3" xfId="3431" xr:uid="{00000000-0005-0000-0000-00003B080000}"/>
    <cellStyle name="Migliaia 18 4 3" xfId="4214" xr:uid="{00000000-0005-0000-0000-00003C080000}"/>
    <cellStyle name="Migliaia 18 4 4" xfId="3430" xr:uid="{00000000-0005-0000-0000-00003D080000}"/>
    <cellStyle name="Migliaia 18 4 5" xfId="5672" xr:uid="{00000000-0005-0000-0000-00003E080000}"/>
    <cellStyle name="Migliaia 18 4 6" xfId="5673" xr:uid="{00000000-0005-0000-0000-00003F080000}"/>
    <cellStyle name="Migliaia 18 5" xfId="536" xr:uid="{00000000-0005-0000-0000-000040080000}"/>
    <cellStyle name="Migliaia 18 5 2" xfId="3432" xr:uid="{00000000-0005-0000-0000-000041080000}"/>
    <cellStyle name="Migliaia 18 5 3" xfId="5674" xr:uid="{00000000-0005-0000-0000-000042080000}"/>
    <cellStyle name="Migliaia 18 5 4" xfId="5675" xr:uid="{00000000-0005-0000-0000-000043080000}"/>
    <cellStyle name="Migliaia 18 5 5" xfId="5676" xr:uid="{00000000-0005-0000-0000-000044080000}"/>
    <cellStyle name="Migliaia 18 6" xfId="537" xr:uid="{00000000-0005-0000-0000-000045080000}"/>
    <cellStyle name="Migliaia 18 6 2" xfId="3176" xr:uid="{00000000-0005-0000-0000-000046080000}"/>
    <cellStyle name="Migliaia 18 7" xfId="1887" xr:uid="{00000000-0005-0000-0000-000047080000}"/>
    <cellStyle name="Migliaia 18 8" xfId="5677" xr:uid="{00000000-0005-0000-0000-000048080000}"/>
    <cellStyle name="Migliaia 18 9" xfId="5678" xr:uid="{00000000-0005-0000-0000-000049080000}"/>
    <cellStyle name="Migliaia 19" xfId="538" xr:uid="{00000000-0005-0000-0000-00004A080000}"/>
    <cellStyle name="Migliaia 19 2" xfId="539" xr:uid="{00000000-0005-0000-0000-00004B080000}"/>
    <cellStyle name="Migliaia 19 2 2" xfId="2259" xr:uid="{00000000-0005-0000-0000-00004C080000}"/>
    <cellStyle name="Migliaia 19 2 2 2" xfId="4216" xr:uid="{00000000-0005-0000-0000-00004D080000}"/>
    <cellStyle name="Migliaia 19 2 3" xfId="3246" xr:uid="{00000000-0005-0000-0000-00004E080000}"/>
    <cellStyle name="Migliaia 19 2 4" xfId="5679" xr:uid="{00000000-0005-0000-0000-00004F080000}"/>
    <cellStyle name="Migliaia 19 2 5" xfId="5680" xr:uid="{00000000-0005-0000-0000-000050080000}"/>
    <cellStyle name="Migliaia 19 3" xfId="540" xr:uid="{00000000-0005-0000-0000-000051080000}"/>
    <cellStyle name="Migliaia 19 3 2" xfId="541" xr:uid="{00000000-0005-0000-0000-000052080000}"/>
    <cellStyle name="Migliaia 19 3 2 2" xfId="2261" xr:uid="{00000000-0005-0000-0000-000053080000}"/>
    <cellStyle name="Migliaia 19 3 2 3" xfId="3434" xr:uid="{00000000-0005-0000-0000-000054080000}"/>
    <cellStyle name="Migliaia 19 3 2 4" xfId="2260" xr:uid="{00000000-0005-0000-0000-000055080000}"/>
    <cellStyle name="Migliaia 19 3 2 5" xfId="5681" xr:uid="{00000000-0005-0000-0000-000056080000}"/>
    <cellStyle name="Migliaia 19 3 3" xfId="3435" xr:uid="{00000000-0005-0000-0000-000057080000}"/>
    <cellStyle name="Migliaia 19 3 3 2" xfId="4218" xr:uid="{00000000-0005-0000-0000-000058080000}"/>
    <cellStyle name="Migliaia 19 3 3 3" xfId="5682" xr:uid="{00000000-0005-0000-0000-000059080000}"/>
    <cellStyle name="Migliaia 19 3 3 4" xfId="5683" xr:uid="{00000000-0005-0000-0000-00005A080000}"/>
    <cellStyle name="Migliaia 19 3 3 5" xfId="5684" xr:uid="{00000000-0005-0000-0000-00005B080000}"/>
    <cellStyle name="Migliaia 19 3 4" xfId="4217" xr:uid="{00000000-0005-0000-0000-00005C080000}"/>
    <cellStyle name="Migliaia 19 3 5" xfId="3433" xr:uid="{00000000-0005-0000-0000-00005D080000}"/>
    <cellStyle name="Migliaia 19 3 6" xfId="5685" xr:uid="{00000000-0005-0000-0000-00005E080000}"/>
    <cellStyle name="Migliaia 19 3 7" xfId="5686" xr:uid="{00000000-0005-0000-0000-00005F080000}"/>
    <cellStyle name="Migliaia 19 4" xfId="542" xr:uid="{00000000-0005-0000-0000-000060080000}"/>
    <cellStyle name="Migliaia 19 4 2" xfId="2262" xr:uid="{00000000-0005-0000-0000-000061080000}"/>
    <cellStyle name="Migliaia 19 4 2 2" xfId="4220" xr:uid="{00000000-0005-0000-0000-000062080000}"/>
    <cellStyle name="Migliaia 19 4 2 3" xfId="3437" xr:uid="{00000000-0005-0000-0000-000063080000}"/>
    <cellStyle name="Migliaia 19 4 3" xfId="4219" xr:uid="{00000000-0005-0000-0000-000064080000}"/>
    <cellStyle name="Migliaia 19 4 4" xfId="3436" xr:uid="{00000000-0005-0000-0000-000065080000}"/>
    <cellStyle name="Migliaia 19 4 5" xfId="5687" xr:uid="{00000000-0005-0000-0000-000066080000}"/>
    <cellStyle name="Migliaia 19 4 6" xfId="5688" xr:uid="{00000000-0005-0000-0000-000067080000}"/>
    <cellStyle name="Migliaia 19 5" xfId="543" xr:uid="{00000000-0005-0000-0000-000068080000}"/>
    <cellStyle name="Migliaia 19 5 2" xfId="3438" xr:uid="{00000000-0005-0000-0000-000069080000}"/>
    <cellStyle name="Migliaia 19 5 3" xfId="5689" xr:uid="{00000000-0005-0000-0000-00006A080000}"/>
    <cellStyle name="Migliaia 19 5 4" xfId="5690" xr:uid="{00000000-0005-0000-0000-00006B080000}"/>
    <cellStyle name="Migliaia 19 5 5" xfId="5691" xr:uid="{00000000-0005-0000-0000-00006C080000}"/>
    <cellStyle name="Migliaia 19 6" xfId="544" xr:uid="{00000000-0005-0000-0000-00006D080000}"/>
    <cellStyle name="Migliaia 19 6 2" xfId="3177" xr:uid="{00000000-0005-0000-0000-00006E080000}"/>
    <cellStyle name="Migliaia 19 7" xfId="1888" xr:uid="{00000000-0005-0000-0000-00006F080000}"/>
    <cellStyle name="Migliaia 19 8" xfId="5692" xr:uid="{00000000-0005-0000-0000-000070080000}"/>
    <cellStyle name="Migliaia 19 9" xfId="5693" xr:uid="{00000000-0005-0000-0000-000071080000}"/>
    <cellStyle name="Migliaia 2" xfId="545" xr:uid="{00000000-0005-0000-0000-000072080000}"/>
    <cellStyle name="Migliaia 2 10" xfId="5694" xr:uid="{00000000-0005-0000-0000-000073080000}"/>
    <cellStyle name="Migliaia 2 2" xfId="546" xr:uid="{00000000-0005-0000-0000-000074080000}"/>
    <cellStyle name="Migliaia 2 2 2" xfId="547" xr:uid="{00000000-0005-0000-0000-000075080000}"/>
    <cellStyle name="Migliaia 2 2 2 2" xfId="2263" xr:uid="{00000000-0005-0000-0000-000076080000}"/>
    <cellStyle name="Migliaia 2 2 2 3" xfId="3931" xr:uid="{00000000-0005-0000-0000-000077080000}"/>
    <cellStyle name="Migliaia 2 2 3" xfId="1890" xr:uid="{00000000-0005-0000-0000-000078080000}"/>
    <cellStyle name="Migliaia 2 2 4" xfId="3179" xr:uid="{00000000-0005-0000-0000-000079080000}"/>
    <cellStyle name="Migliaia 2 2 5" xfId="5695" xr:uid="{00000000-0005-0000-0000-00007A080000}"/>
    <cellStyle name="Migliaia 2 3" xfId="548" xr:uid="{00000000-0005-0000-0000-00007B080000}"/>
    <cellStyle name="Migliaia 2 3 2" xfId="549" xr:uid="{00000000-0005-0000-0000-00007C080000}"/>
    <cellStyle name="Migliaia 2 3 2 2" xfId="2264" xr:uid="{00000000-0005-0000-0000-00007D080000}"/>
    <cellStyle name="Migliaia 2 3 2 3" xfId="3932" xr:uid="{00000000-0005-0000-0000-00007E080000}"/>
    <cellStyle name="Migliaia 2 3 3" xfId="1891" xr:uid="{00000000-0005-0000-0000-00007F080000}"/>
    <cellStyle name="Migliaia 2 3 4" xfId="3180" xr:uid="{00000000-0005-0000-0000-000080080000}"/>
    <cellStyle name="Migliaia 2 3 5" xfId="5696" xr:uid="{00000000-0005-0000-0000-000081080000}"/>
    <cellStyle name="Migliaia 2 4" xfId="550" xr:uid="{00000000-0005-0000-0000-000082080000}"/>
    <cellStyle name="Migliaia 2 4 2" xfId="551" xr:uid="{00000000-0005-0000-0000-000083080000}"/>
    <cellStyle name="Migliaia 2 4 2 2" xfId="2266" xr:uid="{00000000-0005-0000-0000-000084080000}"/>
    <cellStyle name="Migliaia 2 4 2 3" xfId="3440" xr:uid="{00000000-0005-0000-0000-000085080000}"/>
    <cellStyle name="Migliaia 2 4 2 4" xfId="2265" xr:uid="{00000000-0005-0000-0000-000086080000}"/>
    <cellStyle name="Migliaia 2 4 2 5" xfId="5697" xr:uid="{00000000-0005-0000-0000-000087080000}"/>
    <cellStyle name="Migliaia 2 4 3" xfId="3441" xr:uid="{00000000-0005-0000-0000-000088080000}"/>
    <cellStyle name="Migliaia 2 4 3 2" xfId="4222" xr:uid="{00000000-0005-0000-0000-000089080000}"/>
    <cellStyle name="Migliaia 2 4 3 3" xfId="5698" xr:uid="{00000000-0005-0000-0000-00008A080000}"/>
    <cellStyle name="Migliaia 2 4 3 4" xfId="5699" xr:uid="{00000000-0005-0000-0000-00008B080000}"/>
    <cellStyle name="Migliaia 2 4 3 5" xfId="5700" xr:uid="{00000000-0005-0000-0000-00008C080000}"/>
    <cellStyle name="Migliaia 2 4 4" xfId="4221" xr:uid="{00000000-0005-0000-0000-00008D080000}"/>
    <cellStyle name="Migliaia 2 4 5" xfId="3439" xr:uid="{00000000-0005-0000-0000-00008E080000}"/>
    <cellStyle name="Migliaia 2 4 6" xfId="5701" xr:uid="{00000000-0005-0000-0000-00008F080000}"/>
    <cellStyle name="Migliaia 2 4 7" xfId="5702" xr:uid="{00000000-0005-0000-0000-000090080000}"/>
    <cellStyle name="Migliaia 2 5" xfId="552" xr:uid="{00000000-0005-0000-0000-000091080000}"/>
    <cellStyle name="Migliaia 2 5 2" xfId="2267" xr:uid="{00000000-0005-0000-0000-000092080000}"/>
    <cellStyle name="Migliaia 2 5 2 2" xfId="4224" xr:uid="{00000000-0005-0000-0000-000093080000}"/>
    <cellStyle name="Migliaia 2 5 2 3" xfId="3443" xr:uid="{00000000-0005-0000-0000-000094080000}"/>
    <cellStyle name="Migliaia 2 5 3" xfId="4223" xr:uid="{00000000-0005-0000-0000-000095080000}"/>
    <cellStyle name="Migliaia 2 5 4" xfId="3442" xr:uid="{00000000-0005-0000-0000-000096080000}"/>
    <cellStyle name="Migliaia 2 5 5" xfId="5703" xr:uid="{00000000-0005-0000-0000-000097080000}"/>
    <cellStyle name="Migliaia 2 5 6" xfId="5704" xr:uid="{00000000-0005-0000-0000-000098080000}"/>
    <cellStyle name="Migliaia 2 6" xfId="553" xr:uid="{00000000-0005-0000-0000-000099080000}"/>
    <cellStyle name="Migliaia 2 6 2" xfId="3444" xr:uid="{00000000-0005-0000-0000-00009A080000}"/>
    <cellStyle name="Migliaia 2 6 3" xfId="5705" xr:uid="{00000000-0005-0000-0000-00009B080000}"/>
    <cellStyle name="Migliaia 2 6 4" xfId="5706" xr:uid="{00000000-0005-0000-0000-00009C080000}"/>
    <cellStyle name="Migliaia 2 6 5" xfId="5707" xr:uid="{00000000-0005-0000-0000-00009D080000}"/>
    <cellStyle name="Migliaia 2 7" xfId="554" xr:uid="{00000000-0005-0000-0000-00009E080000}"/>
    <cellStyle name="Migliaia 2 7 2" xfId="3178" xr:uid="{00000000-0005-0000-0000-00009F080000}"/>
    <cellStyle name="Migliaia 2 8" xfId="1889" xr:uid="{00000000-0005-0000-0000-0000A0080000}"/>
    <cellStyle name="Migliaia 2 9" xfId="5708" xr:uid="{00000000-0005-0000-0000-0000A1080000}"/>
    <cellStyle name="Migliaia 2_Domestico_reg&amp;naz" xfId="555" xr:uid="{00000000-0005-0000-0000-0000A2080000}"/>
    <cellStyle name="Migliaia 20" xfId="556" xr:uid="{00000000-0005-0000-0000-0000A3080000}"/>
    <cellStyle name="Migliaia 20 2" xfId="557" xr:uid="{00000000-0005-0000-0000-0000A4080000}"/>
    <cellStyle name="Migliaia 20 2 2" xfId="2268" xr:uid="{00000000-0005-0000-0000-0000A5080000}"/>
    <cellStyle name="Migliaia 20 2 2 2" xfId="4225" xr:uid="{00000000-0005-0000-0000-0000A6080000}"/>
    <cellStyle name="Migliaia 20 2 3" xfId="3247" xr:uid="{00000000-0005-0000-0000-0000A7080000}"/>
    <cellStyle name="Migliaia 20 2 4" xfId="5709" xr:uid="{00000000-0005-0000-0000-0000A8080000}"/>
    <cellStyle name="Migliaia 20 2 5" xfId="5710" xr:uid="{00000000-0005-0000-0000-0000A9080000}"/>
    <cellStyle name="Migliaia 20 3" xfId="558" xr:uid="{00000000-0005-0000-0000-0000AA080000}"/>
    <cellStyle name="Migliaia 20 3 2" xfId="559" xr:uid="{00000000-0005-0000-0000-0000AB080000}"/>
    <cellStyle name="Migliaia 20 3 2 2" xfId="2270" xr:uid="{00000000-0005-0000-0000-0000AC080000}"/>
    <cellStyle name="Migliaia 20 3 2 3" xfId="3446" xr:uid="{00000000-0005-0000-0000-0000AD080000}"/>
    <cellStyle name="Migliaia 20 3 2 4" xfId="2269" xr:uid="{00000000-0005-0000-0000-0000AE080000}"/>
    <cellStyle name="Migliaia 20 3 2 5" xfId="5711" xr:uid="{00000000-0005-0000-0000-0000AF080000}"/>
    <cellStyle name="Migliaia 20 3 3" xfId="3447" xr:uid="{00000000-0005-0000-0000-0000B0080000}"/>
    <cellStyle name="Migliaia 20 3 3 2" xfId="4227" xr:uid="{00000000-0005-0000-0000-0000B1080000}"/>
    <cellStyle name="Migliaia 20 3 3 3" xfId="5712" xr:uid="{00000000-0005-0000-0000-0000B2080000}"/>
    <cellStyle name="Migliaia 20 3 3 4" xfId="5713" xr:uid="{00000000-0005-0000-0000-0000B3080000}"/>
    <cellStyle name="Migliaia 20 3 3 5" xfId="5714" xr:uid="{00000000-0005-0000-0000-0000B4080000}"/>
    <cellStyle name="Migliaia 20 3 4" xfId="4226" xr:uid="{00000000-0005-0000-0000-0000B5080000}"/>
    <cellStyle name="Migliaia 20 3 5" xfId="3445" xr:uid="{00000000-0005-0000-0000-0000B6080000}"/>
    <cellStyle name="Migliaia 20 3 6" xfId="5715" xr:uid="{00000000-0005-0000-0000-0000B7080000}"/>
    <cellStyle name="Migliaia 20 3 7" xfId="5716" xr:uid="{00000000-0005-0000-0000-0000B8080000}"/>
    <cellStyle name="Migliaia 20 4" xfId="560" xr:uid="{00000000-0005-0000-0000-0000B9080000}"/>
    <cellStyle name="Migliaia 20 4 2" xfId="2271" xr:uid="{00000000-0005-0000-0000-0000BA080000}"/>
    <cellStyle name="Migliaia 20 4 2 2" xfId="4229" xr:uid="{00000000-0005-0000-0000-0000BB080000}"/>
    <cellStyle name="Migliaia 20 4 2 3" xfId="3449" xr:uid="{00000000-0005-0000-0000-0000BC080000}"/>
    <cellStyle name="Migliaia 20 4 3" xfId="4228" xr:uid="{00000000-0005-0000-0000-0000BD080000}"/>
    <cellStyle name="Migliaia 20 4 4" xfId="3448" xr:uid="{00000000-0005-0000-0000-0000BE080000}"/>
    <cellStyle name="Migliaia 20 4 5" xfId="5717" xr:uid="{00000000-0005-0000-0000-0000BF080000}"/>
    <cellStyle name="Migliaia 20 4 6" xfId="5718" xr:uid="{00000000-0005-0000-0000-0000C0080000}"/>
    <cellStyle name="Migliaia 20 5" xfId="561" xr:uid="{00000000-0005-0000-0000-0000C1080000}"/>
    <cellStyle name="Migliaia 20 5 2" xfId="3450" xr:uid="{00000000-0005-0000-0000-0000C2080000}"/>
    <cellStyle name="Migliaia 20 5 3" xfId="5719" xr:uid="{00000000-0005-0000-0000-0000C3080000}"/>
    <cellStyle name="Migliaia 20 5 4" xfId="5720" xr:uid="{00000000-0005-0000-0000-0000C4080000}"/>
    <cellStyle name="Migliaia 20 5 5" xfId="5721" xr:uid="{00000000-0005-0000-0000-0000C5080000}"/>
    <cellStyle name="Migliaia 20 6" xfId="562" xr:uid="{00000000-0005-0000-0000-0000C6080000}"/>
    <cellStyle name="Migliaia 20 6 2" xfId="3181" xr:uid="{00000000-0005-0000-0000-0000C7080000}"/>
    <cellStyle name="Migliaia 20 7" xfId="1892" xr:uid="{00000000-0005-0000-0000-0000C8080000}"/>
    <cellStyle name="Migliaia 20 8" xfId="5722" xr:uid="{00000000-0005-0000-0000-0000C9080000}"/>
    <cellStyle name="Migliaia 20 9" xfId="5723" xr:uid="{00000000-0005-0000-0000-0000CA080000}"/>
    <cellStyle name="Migliaia 21" xfId="563" xr:uid="{00000000-0005-0000-0000-0000CB080000}"/>
    <cellStyle name="Migliaia 21 2" xfId="564" xr:uid="{00000000-0005-0000-0000-0000CC080000}"/>
    <cellStyle name="Migliaia 21 2 2" xfId="2272" xr:uid="{00000000-0005-0000-0000-0000CD080000}"/>
    <cellStyle name="Migliaia 21 2 2 2" xfId="4230" xr:uid="{00000000-0005-0000-0000-0000CE080000}"/>
    <cellStyle name="Migliaia 21 2 3" xfId="3248" xr:uid="{00000000-0005-0000-0000-0000CF080000}"/>
    <cellStyle name="Migliaia 21 2 4" xfId="5724" xr:uid="{00000000-0005-0000-0000-0000D0080000}"/>
    <cellStyle name="Migliaia 21 2 5" xfId="5725" xr:uid="{00000000-0005-0000-0000-0000D1080000}"/>
    <cellStyle name="Migliaia 21 3" xfId="565" xr:uid="{00000000-0005-0000-0000-0000D2080000}"/>
    <cellStyle name="Migliaia 21 3 2" xfId="566" xr:uid="{00000000-0005-0000-0000-0000D3080000}"/>
    <cellStyle name="Migliaia 21 3 2 2" xfId="2274" xr:uid="{00000000-0005-0000-0000-0000D4080000}"/>
    <cellStyle name="Migliaia 21 3 2 3" xfId="3452" xr:uid="{00000000-0005-0000-0000-0000D5080000}"/>
    <cellStyle name="Migliaia 21 3 2 4" xfId="2273" xr:uid="{00000000-0005-0000-0000-0000D6080000}"/>
    <cellStyle name="Migliaia 21 3 2 5" xfId="5726" xr:uid="{00000000-0005-0000-0000-0000D7080000}"/>
    <cellStyle name="Migliaia 21 3 3" xfId="3453" xr:uid="{00000000-0005-0000-0000-0000D8080000}"/>
    <cellStyle name="Migliaia 21 3 3 2" xfId="4232" xr:uid="{00000000-0005-0000-0000-0000D9080000}"/>
    <cellStyle name="Migliaia 21 3 3 3" xfId="5727" xr:uid="{00000000-0005-0000-0000-0000DA080000}"/>
    <cellStyle name="Migliaia 21 3 3 4" xfId="5728" xr:uid="{00000000-0005-0000-0000-0000DB080000}"/>
    <cellStyle name="Migliaia 21 3 3 5" xfId="5729" xr:uid="{00000000-0005-0000-0000-0000DC080000}"/>
    <cellStyle name="Migliaia 21 3 4" xfId="4231" xr:uid="{00000000-0005-0000-0000-0000DD080000}"/>
    <cellStyle name="Migliaia 21 3 5" xfId="3451" xr:uid="{00000000-0005-0000-0000-0000DE080000}"/>
    <cellStyle name="Migliaia 21 3 6" xfId="5730" xr:uid="{00000000-0005-0000-0000-0000DF080000}"/>
    <cellStyle name="Migliaia 21 3 7" xfId="5731" xr:uid="{00000000-0005-0000-0000-0000E0080000}"/>
    <cellStyle name="Migliaia 21 4" xfId="567" xr:uid="{00000000-0005-0000-0000-0000E1080000}"/>
    <cellStyle name="Migliaia 21 4 2" xfId="2275" xr:uid="{00000000-0005-0000-0000-0000E2080000}"/>
    <cellStyle name="Migliaia 21 4 2 2" xfId="4234" xr:uid="{00000000-0005-0000-0000-0000E3080000}"/>
    <cellStyle name="Migliaia 21 4 2 3" xfId="3455" xr:uid="{00000000-0005-0000-0000-0000E4080000}"/>
    <cellStyle name="Migliaia 21 4 3" xfId="4233" xr:uid="{00000000-0005-0000-0000-0000E5080000}"/>
    <cellStyle name="Migliaia 21 4 4" xfId="3454" xr:uid="{00000000-0005-0000-0000-0000E6080000}"/>
    <cellStyle name="Migliaia 21 4 5" xfId="5732" xr:uid="{00000000-0005-0000-0000-0000E7080000}"/>
    <cellStyle name="Migliaia 21 4 6" xfId="5733" xr:uid="{00000000-0005-0000-0000-0000E8080000}"/>
    <cellStyle name="Migliaia 21 5" xfId="568" xr:uid="{00000000-0005-0000-0000-0000E9080000}"/>
    <cellStyle name="Migliaia 21 5 2" xfId="3456" xr:uid="{00000000-0005-0000-0000-0000EA080000}"/>
    <cellStyle name="Migliaia 21 5 3" xfId="5734" xr:uid="{00000000-0005-0000-0000-0000EB080000}"/>
    <cellStyle name="Migliaia 21 5 4" xfId="5735" xr:uid="{00000000-0005-0000-0000-0000EC080000}"/>
    <cellStyle name="Migliaia 21 5 5" xfId="5736" xr:uid="{00000000-0005-0000-0000-0000ED080000}"/>
    <cellStyle name="Migliaia 21 6" xfId="569" xr:uid="{00000000-0005-0000-0000-0000EE080000}"/>
    <cellStyle name="Migliaia 21 6 2" xfId="3182" xr:uid="{00000000-0005-0000-0000-0000EF080000}"/>
    <cellStyle name="Migliaia 21 7" xfId="1893" xr:uid="{00000000-0005-0000-0000-0000F0080000}"/>
    <cellStyle name="Migliaia 21 8" xfId="5737" xr:uid="{00000000-0005-0000-0000-0000F1080000}"/>
    <cellStyle name="Migliaia 21 9" xfId="5738" xr:uid="{00000000-0005-0000-0000-0000F2080000}"/>
    <cellStyle name="Migliaia 22" xfId="570" xr:uid="{00000000-0005-0000-0000-0000F3080000}"/>
    <cellStyle name="Migliaia 22 2" xfId="571" xr:uid="{00000000-0005-0000-0000-0000F4080000}"/>
    <cellStyle name="Migliaia 22 2 2" xfId="2276" xr:uid="{00000000-0005-0000-0000-0000F5080000}"/>
    <cellStyle name="Migliaia 22 2 2 2" xfId="4235" xr:uid="{00000000-0005-0000-0000-0000F6080000}"/>
    <cellStyle name="Migliaia 22 2 3" xfId="3249" xr:uid="{00000000-0005-0000-0000-0000F7080000}"/>
    <cellStyle name="Migliaia 22 2 4" xfId="5739" xr:uid="{00000000-0005-0000-0000-0000F8080000}"/>
    <cellStyle name="Migliaia 22 2 5" xfId="5740" xr:uid="{00000000-0005-0000-0000-0000F9080000}"/>
    <cellStyle name="Migliaia 22 3" xfId="572" xr:uid="{00000000-0005-0000-0000-0000FA080000}"/>
    <cellStyle name="Migliaia 22 3 2" xfId="573" xr:uid="{00000000-0005-0000-0000-0000FB080000}"/>
    <cellStyle name="Migliaia 22 3 2 2" xfId="2278" xr:uid="{00000000-0005-0000-0000-0000FC080000}"/>
    <cellStyle name="Migliaia 22 3 2 3" xfId="3458" xr:uid="{00000000-0005-0000-0000-0000FD080000}"/>
    <cellStyle name="Migliaia 22 3 2 4" xfId="2277" xr:uid="{00000000-0005-0000-0000-0000FE080000}"/>
    <cellStyle name="Migliaia 22 3 2 5" xfId="5741" xr:uid="{00000000-0005-0000-0000-0000FF080000}"/>
    <cellStyle name="Migliaia 22 3 3" xfId="3459" xr:uid="{00000000-0005-0000-0000-000000090000}"/>
    <cellStyle name="Migliaia 22 3 3 2" xfId="4237" xr:uid="{00000000-0005-0000-0000-000001090000}"/>
    <cellStyle name="Migliaia 22 3 3 3" xfId="5742" xr:uid="{00000000-0005-0000-0000-000002090000}"/>
    <cellStyle name="Migliaia 22 3 3 4" xfId="5743" xr:uid="{00000000-0005-0000-0000-000003090000}"/>
    <cellStyle name="Migliaia 22 3 3 5" xfId="5744" xr:uid="{00000000-0005-0000-0000-000004090000}"/>
    <cellStyle name="Migliaia 22 3 4" xfId="4236" xr:uid="{00000000-0005-0000-0000-000005090000}"/>
    <cellStyle name="Migliaia 22 3 5" xfId="3457" xr:uid="{00000000-0005-0000-0000-000006090000}"/>
    <cellStyle name="Migliaia 22 3 6" xfId="5745" xr:uid="{00000000-0005-0000-0000-000007090000}"/>
    <cellStyle name="Migliaia 22 3 7" xfId="5746" xr:uid="{00000000-0005-0000-0000-000008090000}"/>
    <cellStyle name="Migliaia 22 4" xfId="574" xr:uid="{00000000-0005-0000-0000-000009090000}"/>
    <cellStyle name="Migliaia 22 4 2" xfId="2279" xr:uid="{00000000-0005-0000-0000-00000A090000}"/>
    <cellStyle name="Migliaia 22 4 2 2" xfId="4239" xr:uid="{00000000-0005-0000-0000-00000B090000}"/>
    <cellStyle name="Migliaia 22 4 2 3" xfId="3461" xr:uid="{00000000-0005-0000-0000-00000C090000}"/>
    <cellStyle name="Migliaia 22 4 3" xfId="4238" xr:uid="{00000000-0005-0000-0000-00000D090000}"/>
    <cellStyle name="Migliaia 22 4 4" xfId="3460" xr:uid="{00000000-0005-0000-0000-00000E090000}"/>
    <cellStyle name="Migliaia 22 4 5" xfId="5747" xr:uid="{00000000-0005-0000-0000-00000F090000}"/>
    <cellStyle name="Migliaia 22 4 6" xfId="5748" xr:uid="{00000000-0005-0000-0000-000010090000}"/>
    <cellStyle name="Migliaia 22 5" xfId="575" xr:uid="{00000000-0005-0000-0000-000011090000}"/>
    <cellStyle name="Migliaia 22 5 2" xfId="3462" xr:uid="{00000000-0005-0000-0000-000012090000}"/>
    <cellStyle name="Migliaia 22 5 3" xfId="5749" xr:uid="{00000000-0005-0000-0000-000013090000}"/>
    <cellStyle name="Migliaia 22 5 4" xfId="5750" xr:uid="{00000000-0005-0000-0000-000014090000}"/>
    <cellStyle name="Migliaia 22 5 5" xfId="5751" xr:uid="{00000000-0005-0000-0000-000015090000}"/>
    <cellStyle name="Migliaia 22 6" xfId="576" xr:uid="{00000000-0005-0000-0000-000016090000}"/>
    <cellStyle name="Migliaia 22 6 2" xfId="3183" xr:uid="{00000000-0005-0000-0000-000017090000}"/>
    <cellStyle name="Migliaia 22 7" xfId="1894" xr:uid="{00000000-0005-0000-0000-000018090000}"/>
    <cellStyle name="Migliaia 22 8" xfId="5752" xr:uid="{00000000-0005-0000-0000-000019090000}"/>
    <cellStyle name="Migliaia 22 9" xfId="5753" xr:uid="{00000000-0005-0000-0000-00001A090000}"/>
    <cellStyle name="Migliaia 23" xfId="577" xr:uid="{00000000-0005-0000-0000-00001B090000}"/>
    <cellStyle name="Migliaia 23 2" xfId="578" xr:uid="{00000000-0005-0000-0000-00001C090000}"/>
    <cellStyle name="Migliaia 23 2 2" xfId="2280" xr:uid="{00000000-0005-0000-0000-00001D090000}"/>
    <cellStyle name="Migliaia 23 2 2 2" xfId="4240" xr:uid="{00000000-0005-0000-0000-00001E090000}"/>
    <cellStyle name="Migliaia 23 2 3" xfId="3250" xr:uid="{00000000-0005-0000-0000-00001F090000}"/>
    <cellStyle name="Migliaia 23 2 4" xfId="5754" xr:uid="{00000000-0005-0000-0000-000020090000}"/>
    <cellStyle name="Migliaia 23 2 5" xfId="5755" xr:uid="{00000000-0005-0000-0000-000021090000}"/>
    <cellStyle name="Migliaia 23 3" xfId="579" xr:uid="{00000000-0005-0000-0000-000022090000}"/>
    <cellStyle name="Migliaia 23 3 2" xfId="580" xr:uid="{00000000-0005-0000-0000-000023090000}"/>
    <cellStyle name="Migliaia 23 3 2 2" xfId="2282" xr:uid="{00000000-0005-0000-0000-000024090000}"/>
    <cellStyle name="Migliaia 23 3 2 3" xfId="3464" xr:uid="{00000000-0005-0000-0000-000025090000}"/>
    <cellStyle name="Migliaia 23 3 2 4" xfId="2281" xr:uid="{00000000-0005-0000-0000-000026090000}"/>
    <cellStyle name="Migliaia 23 3 2 5" xfId="5756" xr:uid="{00000000-0005-0000-0000-000027090000}"/>
    <cellStyle name="Migliaia 23 3 3" xfId="3465" xr:uid="{00000000-0005-0000-0000-000028090000}"/>
    <cellStyle name="Migliaia 23 3 3 2" xfId="4242" xr:uid="{00000000-0005-0000-0000-000029090000}"/>
    <cellStyle name="Migliaia 23 3 3 3" xfId="5757" xr:uid="{00000000-0005-0000-0000-00002A090000}"/>
    <cellStyle name="Migliaia 23 3 3 4" xfId="5758" xr:uid="{00000000-0005-0000-0000-00002B090000}"/>
    <cellStyle name="Migliaia 23 3 3 5" xfId="5759" xr:uid="{00000000-0005-0000-0000-00002C090000}"/>
    <cellStyle name="Migliaia 23 3 4" xfId="4241" xr:uid="{00000000-0005-0000-0000-00002D090000}"/>
    <cellStyle name="Migliaia 23 3 5" xfId="3463" xr:uid="{00000000-0005-0000-0000-00002E090000}"/>
    <cellStyle name="Migliaia 23 3 6" xfId="5760" xr:uid="{00000000-0005-0000-0000-00002F090000}"/>
    <cellStyle name="Migliaia 23 3 7" xfId="5761" xr:uid="{00000000-0005-0000-0000-000030090000}"/>
    <cellStyle name="Migliaia 23 4" xfId="581" xr:uid="{00000000-0005-0000-0000-000031090000}"/>
    <cellStyle name="Migliaia 23 4 2" xfId="2283" xr:uid="{00000000-0005-0000-0000-000032090000}"/>
    <cellStyle name="Migliaia 23 4 2 2" xfId="4244" xr:uid="{00000000-0005-0000-0000-000033090000}"/>
    <cellStyle name="Migliaia 23 4 2 3" xfId="3467" xr:uid="{00000000-0005-0000-0000-000034090000}"/>
    <cellStyle name="Migliaia 23 4 3" xfId="4243" xr:uid="{00000000-0005-0000-0000-000035090000}"/>
    <cellStyle name="Migliaia 23 4 4" xfId="3466" xr:uid="{00000000-0005-0000-0000-000036090000}"/>
    <cellStyle name="Migliaia 23 4 5" xfId="5762" xr:uid="{00000000-0005-0000-0000-000037090000}"/>
    <cellStyle name="Migliaia 23 4 6" xfId="5763" xr:uid="{00000000-0005-0000-0000-000038090000}"/>
    <cellStyle name="Migliaia 23 5" xfId="582" xr:uid="{00000000-0005-0000-0000-000039090000}"/>
    <cellStyle name="Migliaia 23 5 2" xfId="3468" xr:uid="{00000000-0005-0000-0000-00003A090000}"/>
    <cellStyle name="Migliaia 23 5 3" xfId="5764" xr:uid="{00000000-0005-0000-0000-00003B090000}"/>
    <cellStyle name="Migliaia 23 5 4" xfId="5765" xr:uid="{00000000-0005-0000-0000-00003C090000}"/>
    <cellStyle name="Migliaia 23 5 5" xfId="5766" xr:uid="{00000000-0005-0000-0000-00003D090000}"/>
    <cellStyle name="Migliaia 23 6" xfId="583" xr:uid="{00000000-0005-0000-0000-00003E090000}"/>
    <cellStyle name="Migliaia 23 6 2" xfId="3184" xr:uid="{00000000-0005-0000-0000-00003F090000}"/>
    <cellStyle name="Migliaia 23 7" xfId="1895" xr:uid="{00000000-0005-0000-0000-000040090000}"/>
    <cellStyle name="Migliaia 23 8" xfId="5767" xr:uid="{00000000-0005-0000-0000-000041090000}"/>
    <cellStyle name="Migliaia 23 9" xfId="5768" xr:uid="{00000000-0005-0000-0000-000042090000}"/>
    <cellStyle name="Migliaia 24" xfId="584" xr:uid="{00000000-0005-0000-0000-000043090000}"/>
    <cellStyle name="Migliaia 24 2" xfId="585" xr:uid="{00000000-0005-0000-0000-000044090000}"/>
    <cellStyle name="Migliaia 24 2 2" xfId="2284" xr:uid="{00000000-0005-0000-0000-000045090000}"/>
    <cellStyle name="Migliaia 24 2 2 2" xfId="4245" xr:uid="{00000000-0005-0000-0000-000046090000}"/>
    <cellStyle name="Migliaia 24 2 3" xfId="3251" xr:uid="{00000000-0005-0000-0000-000047090000}"/>
    <cellStyle name="Migliaia 24 2 4" xfId="5769" xr:uid="{00000000-0005-0000-0000-000048090000}"/>
    <cellStyle name="Migliaia 24 2 5" xfId="5770" xr:uid="{00000000-0005-0000-0000-000049090000}"/>
    <cellStyle name="Migliaia 24 3" xfId="586" xr:uid="{00000000-0005-0000-0000-00004A090000}"/>
    <cellStyle name="Migliaia 24 3 2" xfId="587" xr:uid="{00000000-0005-0000-0000-00004B090000}"/>
    <cellStyle name="Migliaia 24 3 2 2" xfId="2286" xr:uid="{00000000-0005-0000-0000-00004C090000}"/>
    <cellStyle name="Migliaia 24 3 2 3" xfId="3470" xr:uid="{00000000-0005-0000-0000-00004D090000}"/>
    <cellStyle name="Migliaia 24 3 2 4" xfId="2285" xr:uid="{00000000-0005-0000-0000-00004E090000}"/>
    <cellStyle name="Migliaia 24 3 2 5" xfId="5771" xr:uid="{00000000-0005-0000-0000-00004F090000}"/>
    <cellStyle name="Migliaia 24 3 3" xfId="3471" xr:uid="{00000000-0005-0000-0000-000050090000}"/>
    <cellStyle name="Migliaia 24 3 3 2" xfId="4247" xr:uid="{00000000-0005-0000-0000-000051090000}"/>
    <cellStyle name="Migliaia 24 3 3 3" xfId="5772" xr:uid="{00000000-0005-0000-0000-000052090000}"/>
    <cellStyle name="Migliaia 24 3 3 4" xfId="5773" xr:uid="{00000000-0005-0000-0000-000053090000}"/>
    <cellStyle name="Migliaia 24 3 3 5" xfId="5774" xr:uid="{00000000-0005-0000-0000-000054090000}"/>
    <cellStyle name="Migliaia 24 3 4" xfId="4246" xr:uid="{00000000-0005-0000-0000-000055090000}"/>
    <cellStyle name="Migliaia 24 3 5" xfId="3469" xr:uid="{00000000-0005-0000-0000-000056090000}"/>
    <cellStyle name="Migliaia 24 3 6" xfId="5775" xr:uid="{00000000-0005-0000-0000-000057090000}"/>
    <cellStyle name="Migliaia 24 3 7" xfId="5776" xr:uid="{00000000-0005-0000-0000-000058090000}"/>
    <cellStyle name="Migliaia 24 4" xfId="588" xr:uid="{00000000-0005-0000-0000-000059090000}"/>
    <cellStyle name="Migliaia 24 4 2" xfId="2287" xr:uid="{00000000-0005-0000-0000-00005A090000}"/>
    <cellStyle name="Migliaia 24 4 2 2" xfId="4249" xr:uid="{00000000-0005-0000-0000-00005B090000}"/>
    <cellStyle name="Migliaia 24 4 2 3" xfId="3473" xr:uid="{00000000-0005-0000-0000-00005C090000}"/>
    <cellStyle name="Migliaia 24 4 3" xfId="4248" xr:uid="{00000000-0005-0000-0000-00005D090000}"/>
    <cellStyle name="Migliaia 24 4 4" xfId="3472" xr:uid="{00000000-0005-0000-0000-00005E090000}"/>
    <cellStyle name="Migliaia 24 4 5" xfId="5777" xr:uid="{00000000-0005-0000-0000-00005F090000}"/>
    <cellStyle name="Migliaia 24 4 6" xfId="5778" xr:uid="{00000000-0005-0000-0000-000060090000}"/>
    <cellStyle name="Migliaia 24 5" xfId="589" xr:uid="{00000000-0005-0000-0000-000061090000}"/>
    <cellStyle name="Migliaia 24 5 2" xfId="3474" xr:uid="{00000000-0005-0000-0000-000062090000}"/>
    <cellStyle name="Migliaia 24 5 3" xfId="5779" xr:uid="{00000000-0005-0000-0000-000063090000}"/>
    <cellStyle name="Migliaia 24 5 4" xfId="5780" xr:uid="{00000000-0005-0000-0000-000064090000}"/>
    <cellStyle name="Migliaia 24 5 5" xfId="5781" xr:uid="{00000000-0005-0000-0000-000065090000}"/>
    <cellStyle name="Migliaia 24 6" xfId="590" xr:uid="{00000000-0005-0000-0000-000066090000}"/>
    <cellStyle name="Migliaia 24 6 2" xfId="3185" xr:uid="{00000000-0005-0000-0000-000067090000}"/>
    <cellStyle name="Migliaia 24 7" xfId="1896" xr:uid="{00000000-0005-0000-0000-000068090000}"/>
    <cellStyle name="Migliaia 24 8" xfId="5782" xr:uid="{00000000-0005-0000-0000-000069090000}"/>
    <cellStyle name="Migliaia 24 9" xfId="5783" xr:uid="{00000000-0005-0000-0000-00006A090000}"/>
    <cellStyle name="Migliaia 25" xfId="591" xr:uid="{00000000-0005-0000-0000-00006B090000}"/>
    <cellStyle name="Migliaia 25 2" xfId="592" xr:uid="{00000000-0005-0000-0000-00006C090000}"/>
    <cellStyle name="Migliaia 25 2 2" xfId="2288" xr:uid="{00000000-0005-0000-0000-00006D090000}"/>
    <cellStyle name="Migliaia 25 2 2 2" xfId="4250" xr:uid="{00000000-0005-0000-0000-00006E090000}"/>
    <cellStyle name="Migliaia 25 2 3" xfId="3252" xr:uid="{00000000-0005-0000-0000-00006F090000}"/>
    <cellStyle name="Migliaia 25 2 4" xfId="5784" xr:uid="{00000000-0005-0000-0000-000070090000}"/>
    <cellStyle name="Migliaia 25 2 5" xfId="5785" xr:uid="{00000000-0005-0000-0000-000071090000}"/>
    <cellStyle name="Migliaia 25 3" xfId="593" xr:uid="{00000000-0005-0000-0000-000072090000}"/>
    <cellStyle name="Migliaia 25 3 2" xfId="594" xr:uid="{00000000-0005-0000-0000-000073090000}"/>
    <cellStyle name="Migliaia 25 3 2 2" xfId="2290" xr:uid="{00000000-0005-0000-0000-000074090000}"/>
    <cellStyle name="Migliaia 25 3 2 3" xfId="3476" xr:uid="{00000000-0005-0000-0000-000075090000}"/>
    <cellStyle name="Migliaia 25 3 2 4" xfId="2289" xr:uid="{00000000-0005-0000-0000-000076090000}"/>
    <cellStyle name="Migliaia 25 3 2 5" xfId="5786" xr:uid="{00000000-0005-0000-0000-000077090000}"/>
    <cellStyle name="Migliaia 25 3 3" xfId="3477" xr:uid="{00000000-0005-0000-0000-000078090000}"/>
    <cellStyle name="Migliaia 25 3 3 2" xfId="4252" xr:uid="{00000000-0005-0000-0000-000079090000}"/>
    <cellStyle name="Migliaia 25 3 3 3" xfId="5787" xr:uid="{00000000-0005-0000-0000-00007A090000}"/>
    <cellStyle name="Migliaia 25 3 3 4" xfId="5788" xr:uid="{00000000-0005-0000-0000-00007B090000}"/>
    <cellStyle name="Migliaia 25 3 3 5" xfId="5789" xr:uid="{00000000-0005-0000-0000-00007C090000}"/>
    <cellStyle name="Migliaia 25 3 4" xfId="4251" xr:uid="{00000000-0005-0000-0000-00007D090000}"/>
    <cellStyle name="Migliaia 25 3 5" xfId="3475" xr:uid="{00000000-0005-0000-0000-00007E090000}"/>
    <cellStyle name="Migliaia 25 3 6" xfId="5790" xr:uid="{00000000-0005-0000-0000-00007F090000}"/>
    <cellStyle name="Migliaia 25 3 7" xfId="5791" xr:uid="{00000000-0005-0000-0000-000080090000}"/>
    <cellStyle name="Migliaia 25 4" xfId="595" xr:uid="{00000000-0005-0000-0000-000081090000}"/>
    <cellStyle name="Migliaia 25 4 2" xfId="2291" xr:uid="{00000000-0005-0000-0000-000082090000}"/>
    <cellStyle name="Migliaia 25 4 2 2" xfId="4254" xr:uid="{00000000-0005-0000-0000-000083090000}"/>
    <cellStyle name="Migliaia 25 4 2 3" xfId="3479" xr:uid="{00000000-0005-0000-0000-000084090000}"/>
    <cellStyle name="Migliaia 25 4 3" xfId="4253" xr:uid="{00000000-0005-0000-0000-000085090000}"/>
    <cellStyle name="Migliaia 25 4 4" xfId="3478" xr:uid="{00000000-0005-0000-0000-000086090000}"/>
    <cellStyle name="Migliaia 25 4 5" xfId="5792" xr:uid="{00000000-0005-0000-0000-000087090000}"/>
    <cellStyle name="Migliaia 25 4 6" xfId="5793" xr:uid="{00000000-0005-0000-0000-000088090000}"/>
    <cellStyle name="Migliaia 25 5" xfId="596" xr:uid="{00000000-0005-0000-0000-000089090000}"/>
    <cellStyle name="Migliaia 25 5 2" xfId="3480" xr:uid="{00000000-0005-0000-0000-00008A090000}"/>
    <cellStyle name="Migliaia 25 5 3" xfId="5794" xr:uid="{00000000-0005-0000-0000-00008B090000}"/>
    <cellStyle name="Migliaia 25 5 4" xfId="5795" xr:uid="{00000000-0005-0000-0000-00008C090000}"/>
    <cellStyle name="Migliaia 25 5 5" xfId="5796" xr:uid="{00000000-0005-0000-0000-00008D090000}"/>
    <cellStyle name="Migliaia 25 6" xfId="597" xr:uid="{00000000-0005-0000-0000-00008E090000}"/>
    <cellStyle name="Migliaia 25 6 2" xfId="3186" xr:uid="{00000000-0005-0000-0000-00008F090000}"/>
    <cellStyle name="Migliaia 25 7" xfId="1897" xr:uid="{00000000-0005-0000-0000-000090090000}"/>
    <cellStyle name="Migliaia 25 8" xfId="5797" xr:uid="{00000000-0005-0000-0000-000091090000}"/>
    <cellStyle name="Migliaia 25 9" xfId="5798" xr:uid="{00000000-0005-0000-0000-000092090000}"/>
    <cellStyle name="Migliaia 26" xfId="598" xr:uid="{00000000-0005-0000-0000-000093090000}"/>
    <cellStyle name="Migliaia 26 2" xfId="599" xr:uid="{00000000-0005-0000-0000-000094090000}"/>
    <cellStyle name="Migliaia 26 2 2" xfId="2292" xr:uid="{00000000-0005-0000-0000-000095090000}"/>
    <cellStyle name="Migliaia 26 2 2 2" xfId="4255" xr:uid="{00000000-0005-0000-0000-000096090000}"/>
    <cellStyle name="Migliaia 26 2 3" xfId="3253" xr:uid="{00000000-0005-0000-0000-000097090000}"/>
    <cellStyle name="Migliaia 26 2 4" xfId="5799" xr:uid="{00000000-0005-0000-0000-000098090000}"/>
    <cellStyle name="Migliaia 26 2 5" xfId="5800" xr:uid="{00000000-0005-0000-0000-000099090000}"/>
    <cellStyle name="Migliaia 26 3" xfId="600" xr:uid="{00000000-0005-0000-0000-00009A090000}"/>
    <cellStyle name="Migliaia 26 3 2" xfId="601" xr:uid="{00000000-0005-0000-0000-00009B090000}"/>
    <cellStyle name="Migliaia 26 3 2 2" xfId="2294" xr:uid="{00000000-0005-0000-0000-00009C090000}"/>
    <cellStyle name="Migliaia 26 3 2 3" xfId="3482" xr:uid="{00000000-0005-0000-0000-00009D090000}"/>
    <cellStyle name="Migliaia 26 3 2 4" xfId="2293" xr:uid="{00000000-0005-0000-0000-00009E090000}"/>
    <cellStyle name="Migliaia 26 3 2 5" xfId="5801" xr:uid="{00000000-0005-0000-0000-00009F090000}"/>
    <cellStyle name="Migliaia 26 3 3" xfId="3483" xr:uid="{00000000-0005-0000-0000-0000A0090000}"/>
    <cellStyle name="Migliaia 26 3 3 2" xfId="4257" xr:uid="{00000000-0005-0000-0000-0000A1090000}"/>
    <cellStyle name="Migliaia 26 3 3 3" xfId="5802" xr:uid="{00000000-0005-0000-0000-0000A2090000}"/>
    <cellStyle name="Migliaia 26 3 3 4" xfId="5803" xr:uid="{00000000-0005-0000-0000-0000A3090000}"/>
    <cellStyle name="Migliaia 26 3 3 5" xfId="5804" xr:uid="{00000000-0005-0000-0000-0000A4090000}"/>
    <cellStyle name="Migliaia 26 3 4" xfId="4256" xr:uid="{00000000-0005-0000-0000-0000A5090000}"/>
    <cellStyle name="Migliaia 26 3 5" xfId="3481" xr:uid="{00000000-0005-0000-0000-0000A6090000}"/>
    <cellStyle name="Migliaia 26 3 6" xfId="5805" xr:uid="{00000000-0005-0000-0000-0000A7090000}"/>
    <cellStyle name="Migliaia 26 3 7" xfId="5806" xr:uid="{00000000-0005-0000-0000-0000A8090000}"/>
    <cellStyle name="Migliaia 26 4" xfId="602" xr:uid="{00000000-0005-0000-0000-0000A9090000}"/>
    <cellStyle name="Migliaia 26 4 2" xfId="2295" xr:uid="{00000000-0005-0000-0000-0000AA090000}"/>
    <cellStyle name="Migliaia 26 4 2 2" xfId="4259" xr:uid="{00000000-0005-0000-0000-0000AB090000}"/>
    <cellStyle name="Migliaia 26 4 2 3" xfId="3485" xr:uid="{00000000-0005-0000-0000-0000AC090000}"/>
    <cellStyle name="Migliaia 26 4 3" xfId="4258" xr:uid="{00000000-0005-0000-0000-0000AD090000}"/>
    <cellStyle name="Migliaia 26 4 4" xfId="3484" xr:uid="{00000000-0005-0000-0000-0000AE090000}"/>
    <cellStyle name="Migliaia 26 4 5" xfId="5807" xr:uid="{00000000-0005-0000-0000-0000AF090000}"/>
    <cellStyle name="Migliaia 26 4 6" xfId="5808" xr:uid="{00000000-0005-0000-0000-0000B0090000}"/>
    <cellStyle name="Migliaia 26 5" xfId="603" xr:uid="{00000000-0005-0000-0000-0000B1090000}"/>
    <cellStyle name="Migliaia 26 5 2" xfId="3486" xr:uid="{00000000-0005-0000-0000-0000B2090000}"/>
    <cellStyle name="Migliaia 26 5 3" xfId="5809" xr:uid="{00000000-0005-0000-0000-0000B3090000}"/>
    <cellStyle name="Migliaia 26 5 4" xfId="5810" xr:uid="{00000000-0005-0000-0000-0000B4090000}"/>
    <cellStyle name="Migliaia 26 5 5" xfId="5811" xr:uid="{00000000-0005-0000-0000-0000B5090000}"/>
    <cellStyle name="Migliaia 26 6" xfId="604" xr:uid="{00000000-0005-0000-0000-0000B6090000}"/>
    <cellStyle name="Migliaia 26 6 2" xfId="3187" xr:uid="{00000000-0005-0000-0000-0000B7090000}"/>
    <cellStyle name="Migliaia 26 7" xfId="1898" xr:uid="{00000000-0005-0000-0000-0000B8090000}"/>
    <cellStyle name="Migliaia 26 8" xfId="5812" xr:uid="{00000000-0005-0000-0000-0000B9090000}"/>
    <cellStyle name="Migliaia 26 9" xfId="5813" xr:uid="{00000000-0005-0000-0000-0000BA090000}"/>
    <cellStyle name="Migliaia 27" xfId="605" xr:uid="{00000000-0005-0000-0000-0000BB090000}"/>
    <cellStyle name="Migliaia 27 2" xfId="606" xr:uid="{00000000-0005-0000-0000-0000BC090000}"/>
    <cellStyle name="Migliaia 27 2 2" xfId="2296" xr:uid="{00000000-0005-0000-0000-0000BD090000}"/>
    <cellStyle name="Migliaia 27 2 2 2" xfId="4260" xr:uid="{00000000-0005-0000-0000-0000BE090000}"/>
    <cellStyle name="Migliaia 27 2 3" xfId="3254" xr:uid="{00000000-0005-0000-0000-0000BF090000}"/>
    <cellStyle name="Migliaia 27 2 4" xfId="5814" xr:uid="{00000000-0005-0000-0000-0000C0090000}"/>
    <cellStyle name="Migliaia 27 2 5" xfId="5815" xr:uid="{00000000-0005-0000-0000-0000C1090000}"/>
    <cellStyle name="Migliaia 27 3" xfId="607" xr:uid="{00000000-0005-0000-0000-0000C2090000}"/>
    <cellStyle name="Migliaia 27 3 2" xfId="608" xr:uid="{00000000-0005-0000-0000-0000C3090000}"/>
    <cellStyle name="Migliaia 27 3 2 2" xfId="2298" xr:uid="{00000000-0005-0000-0000-0000C4090000}"/>
    <cellStyle name="Migliaia 27 3 2 3" xfId="3488" xr:uid="{00000000-0005-0000-0000-0000C5090000}"/>
    <cellStyle name="Migliaia 27 3 2 4" xfId="2297" xr:uid="{00000000-0005-0000-0000-0000C6090000}"/>
    <cellStyle name="Migliaia 27 3 2 5" xfId="5816" xr:uid="{00000000-0005-0000-0000-0000C7090000}"/>
    <cellStyle name="Migliaia 27 3 3" xfId="3489" xr:uid="{00000000-0005-0000-0000-0000C8090000}"/>
    <cellStyle name="Migliaia 27 3 3 2" xfId="4262" xr:uid="{00000000-0005-0000-0000-0000C9090000}"/>
    <cellStyle name="Migliaia 27 3 3 3" xfId="5817" xr:uid="{00000000-0005-0000-0000-0000CA090000}"/>
    <cellStyle name="Migliaia 27 3 3 4" xfId="5818" xr:uid="{00000000-0005-0000-0000-0000CB090000}"/>
    <cellStyle name="Migliaia 27 3 3 5" xfId="5819" xr:uid="{00000000-0005-0000-0000-0000CC090000}"/>
    <cellStyle name="Migliaia 27 3 4" xfId="4261" xr:uid="{00000000-0005-0000-0000-0000CD090000}"/>
    <cellStyle name="Migliaia 27 3 5" xfId="3487" xr:uid="{00000000-0005-0000-0000-0000CE090000}"/>
    <cellStyle name="Migliaia 27 3 6" xfId="5820" xr:uid="{00000000-0005-0000-0000-0000CF090000}"/>
    <cellStyle name="Migliaia 27 3 7" xfId="5821" xr:uid="{00000000-0005-0000-0000-0000D0090000}"/>
    <cellStyle name="Migliaia 27 4" xfId="609" xr:uid="{00000000-0005-0000-0000-0000D1090000}"/>
    <cellStyle name="Migliaia 27 4 2" xfId="2299" xr:uid="{00000000-0005-0000-0000-0000D2090000}"/>
    <cellStyle name="Migliaia 27 4 2 2" xfId="4264" xr:uid="{00000000-0005-0000-0000-0000D3090000}"/>
    <cellStyle name="Migliaia 27 4 2 3" xfId="3491" xr:uid="{00000000-0005-0000-0000-0000D4090000}"/>
    <cellStyle name="Migliaia 27 4 3" xfId="4263" xr:uid="{00000000-0005-0000-0000-0000D5090000}"/>
    <cellStyle name="Migliaia 27 4 4" xfId="3490" xr:uid="{00000000-0005-0000-0000-0000D6090000}"/>
    <cellStyle name="Migliaia 27 4 5" xfId="5822" xr:uid="{00000000-0005-0000-0000-0000D7090000}"/>
    <cellStyle name="Migliaia 27 4 6" xfId="5823" xr:uid="{00000000-0005-0000-0000-0000D8090000}"/>
    <cellStyle name="Migliaia 27 5" xfId="610" xr:uid="{00000000-0005-0000-0000-0000D9090000}"/>
    <cellStyle name="Migliaia 27 5 2" xfId="3492" xr:uid="{00000000-0005-0000-0000-0000DA090000}"/>
    <cellStyle name="Migliaia 27 5 3" xfId="5824" xr:uid="{00000000-0005-0000-0000-0000DB090000}"/>
    <cellStyle name="Migliaia 27 5 4" xfId="5825" xr:uid="{00000000-0005-0000-0000-0000DC090000}"/>
    <cellStyle name="Migliaia 27 5 5" xfId="5826" xr:uid="{00000000-0005-0000-0000-0000DD090000}"/>
    <cellStyle name="Migliaia 27 6" xfId="611" xr:uid="{00000000-0005-0000-0000-0000DE090000}"/>
    <cellStyle name="Migliaia 27 6 2" xfId="3188" xr:uid="{00000000-0005-0000-0000-0000DF090000}"/>
    <cellStyle name="Migliaia 27 7" xfId="1899" xr:uid="{00000000-0005-0000-0000-0000E0090000}"/>
    <cellStyle name="Migliaia 27 8" xfId="5827" xr:uid="{00000000-0005-0000-0000-0000E1090000}"/>
    <cellStyle name="Migliaia 27 9" xfId="5828" xr:uid="{00000000-0005-0000-0000-0000E2090000}"/>
    <cellStyle name="Migliaia 28" xfId="612" xr:uid="{00000000-0005-0000-0000-0000E3090000}"/>
    <cellStyle name="Migliaia 28 2" xfId="613" xr:uid="{00000000-0005-0000-0000-0000E4090000}"/>
    <cellStyle name="Migliaia 28 2 2" xfId="2300" xr:uid="{00000000-0005-0000-0000-0000E5090000}"/>
    <cellStyle name="Migliaia 28 2 2 2" xfId="4265" xr:uid="{00000000-0005-0000-0000-0000E6090000}"/>
    <cellStyle name="Migliaia 28 2 3" xfId="3255" xr:uid="{00000000-0005-0000-0000-0000E7090000}"/>
    <cellStyle name="Migliaia 28 2 4" xfId="5829" xr:uid="{00000000-0005-0000-0000-0000E8090000}"/>
    <cellStyle name="Migliaia 28 2 5" xfId="5830" xr:uid="{00000000-0005-0000-0000-0000E9090000}"/>
    <cellStyle name="Migliaia 28 3" xfId="614" xr:uid="{00000000-0005-0000-0000-0000EA090000}"/>
    <cellStyle name="Migliaia 28 3 2" xfId="615" xr:uid="{00000000-0005-0000-0000-0000EB090000}"/>
    <cellStyle name="Migliaia 28 3 2 2" xfId="2302" xr:uid="{00000000-0005-0000-0000-0000EC090000}"/>
    <cellStyle name="Migliaia 28 3 2 3" xfId="3494" xr:uid="{00000000-0005-0000-0000-0000ED090000}"/>
    <cellStyle name="Migliaia 28 3 2 4" xfId="2301" xr:uid="{00000000-0005-0000-0000-0000EE090000}"/>
    <cellStyle name="Migliaia 28 3 2 5" xfId="5831" xr:uid="{00000000-0005-0000-0000-0000EF090000}"/>
    <cellStyle name="Migliaia 28 3 3" xfId="3495" xr:uid="{00000000-0005-0000-0000-0000F0090000}"/>
    <cellStyle name="Migliaia 28 3 3 2" xfId="4267" xr:uid="{00000000-0005-0000-0000-0000F1090000}"/>
    <cellStyle name="Migliaia 28 3 3 3" xfId="5832" xr:uid="{00000000-0005-0000-0000-0000F2090000}"/>
    <cellStyle name="Migliaia 28 3 3 4" xfId="5833" xr:uid="{00000000-0005-0000-0000-0000F3090000}"/>
    <cellStyle name="Migliaia 28 3 3 5" xfId="5834" xr:uid="{00000000-0005-0000-0000-0000F4090000}"/>
    <cellStyle name="Migliaia 28 3 4" xfId="4266" xr:uid="{00000000-0005-0000-0000-0000F5090000}"/>
    <cellStyle name="Migliaia 28 3 5" xfId="3493" xr:uid="{00000000-0005-0000-0000-0000F6090000}"/>
    <cellStyle name="Migliaia 28 3 6" xfId="5835" xr:uid="{00000000-0005-0000-0000-0000F7090000}"/>
    <cellStyle name="Migliaia 28 3 7" xfId="5836" xr:uid="{00000000-0005-0000-0000-0000F8090000}"/>
    <cellStyle name="Migliaia 28 4" xfId="616" xr:uid="{00000000-0005-0000-0000-0000F9090000}"/>
    <cellStyle name="Migliaia 28 4 2" xfId="2303" xr:uid="{00000000-0005-0000-0000-0000FA090000}"/>
    <cellStyle name="Migliaia 28 4 2 2" xfId="4269" xr:uid="{00000000-0005-0000-0000-0000FB090000}"/>
    <cellStyle name="Migliaia 28 4 2 3" xfId="3497" xr:uid="{00000000-0005-0000-0000-0000FC090000}"/>
    <cellStyle name="Migliaia 28 4 3" xfId="4268" xr:uid="{00000000-0005-0000-0000-0000FD090000}"/>
    <cellStyle name="Migliaia 28 4 4" xfId="3496" xr:uid="{00000000-0005-0000-0000-0000FE090000}"/>
    <cellStyle name="Migliaia 28 4 5" xfId="5837" xr:uid="{00000000-0005-0000-0000-0000FF090000}"/>
    <cellStyle name="Migliaia 28 4 6" xfId="5838" xr:uid="{00000000-0005-0000-0000-0000000A0000}"/>
    <cellStyle name="Migliaia 28 5" xfId="617" xr:uid="{00000000-0005-0000-0000-0000010A0000}"/>
    <cellStyle name="Migliaia 28 5 2" xfId="3498" xr:uid="{00000000-0005-0000-0000-0000020A0000}"/>
    <cellStyle name="Migliaia 28 5 3" xfId="5839" xr:uid="{00000000-0005-0000-0000-0000030A0000}"/>
    <cellStyle name="Migliaia 28 5 4" xfId="5840" xr:uid="{00000000-0005-0000-0000-0000040A0000}"/>
    <cellStyle name="Migliaia 28 5 5" xfId="5841" xr:uid="{00000000-0005-0000-0000-0000050A0000}"/>
    <cellStyle name="Migliaia 28 6" xfId="618" xr:uid="{00000000-0005-0000-0000-0000060A0000}"/>
    <cellStyle name="Migliaia 28 6 2" xfId="3189" xr:uid="{00000000-0005-0000-0000-0000070A0000}"/>
    <cellStyle name="Migliaia 28 7" xfId="1900" xr:uid="{00000000-0005-0000-0000-0000080A0000}"/>
    <cellStyle name="Migliaia 28 8" xfId="5842" xr:uid="{00000000-0005-0000-0000-0000090A0000}"/>
    <cellStyle name="Migliaia 28 9" xfId="5843" xr:uid="{00000000-0005-0000-0000-00000A0A0000}"/>
    <cellStyle name="Migliaia 29" xfId="619" xr:uid="{00000000-0005-0000-0000-00000B0A0000}"/>
    <cellStyle name="Migliaia 29 2" xfId="620" xr:uid="{00000000-0005-0000-0000-00000C0A0000}"/>
    <cellStyle name="Migliaia 29 2 2" xfId="2304" xr:uid="{00000000-0005-0000-0000-00000D0A0000}"/>
    <cellStyle name="Migliaia 29 2 2 2" xfId="4270" xr:uid="{00000000-0005-0000-0000-00000E0A0000}"/>
    <cellStyle name="Migliaia 29 2 3" xfId="3256" xr:uid="{00000000-0005-0000-0000-00000F0A0000}"/>
    <cellStyle name="Migliaia 29 2 4" xfId="5844" xr:uid="{00000000-0005-0000-0000-0000100A0000}"/>
    <cellStyle name="Migliaia 29 2 5" xfId="5845" xr:uid="{00000000-0005-0000-0000-0000110A0000}"/>
    <cellStyle name="Migliaia 29 3" xfId="621" xr:uid="{00000000-0005-0000-0000-0000120A0000}"/>
    <cellStyle name="Migliaia 29 3 2" xfId="622" xr:uid="{00000000-0005-0000-0000-0000130A0000}"/>
    <cellStyle name="Migliaia 29 3 2 2" xfId="2306" xr:uid="{00000000-0005-0000-0000-0000140A0000}"/>
    <cellStyle name="Migliaia 29 3 2 3" xfId="3500" xr:uid="{00000000-0005-0000-0000-0000150A0000}"/>
    <cellStyle name="Migliaia 29 3 2 4" xfId="2305" xr:uid="{00000000-0005-0000-0000-0000160A0000}"/>
    <cellStyle name="Migliaia 29 3 2 5" xfId="5846" xr:uid="{00000000-0005-0000-0000-0000170A0000}"/>
    <cellStyle name="Migliaia 29 3 3" xfId="3501" xr:uid="{00000000-0005-0000-0000-0000180A0000}"/>
    <cellStyle name="Migliaia 29 3 3 2" xfId="4272" xr:uid="{00000000-0005-0000-0000-0000190A0000}"/>
    <cellStyle name="Migliaia 29 3 3 3" xfId="5847" xr:uid="{00000000-0005-0000-0000-00001A0A0000}"/>
    <cellStyle name="Migliaia 29 3 3 4" xfId="5848" xr:uid="{00000000-0005-0000-0000-00001B0A0000}"/>
    <cellStyle name="Migliaia 29 3 3 5" xfId="5849" xr:uid="{00000000-0005-0000-0000-00001C0A0000}"/>
    <cellStyle name="Migliaia 29 3 4" xfId="4271" xr:uid="{00000000-0005-0000-0000-00001D0A0000}"/>
    <cellStyle name="Migliaia 29 3 5" xfId="3499" xr:uid="{00000000-0005-0000-0000-00001E0A0000}"/>
    <cellStyle name="Migliaia 29 3 6" xfId="5850" xr:uid="{00000000-0005-0000-0000-00001F0A0000}"/>
    <cellStyle name="Migliaia 29 3 7" xfId="5851" xr:uid="{00000000-0005-0000-0000-0000200A0000}"/>
    <cellStyle name="Migliaia 29 4" xfId="623" xr:uid="{00000000-0005-0000-0000-0000210A0000}"/>
    <cellStyle name="Migliaia 29 4 2" xfId="2307" xr:uid="{00000000-0005-0000-0000-0000220A0000}"/>
    <cellStyle name="Migliaia 29 4 2 2" xfId="4274" xr:uid="{00000000-0005-0000-0000-0000230A0000}"/>
    <cellStyle name="Migliaia 29 4 2 3" xfId="3503" xr:uid="{00000000-0005-0000-0000-0000240A0000}"/>
    <cellStyle name="Migliaia 29 4 3" xfId="4273" xr:uid="{00000000-0005-0000-0000-0000250A0000}"/>
    <cellStyle name="Migliaia 29 4 4" xfId="3502" xr:uid="{00000000-0005-0000-0000-0000260A0000}"/>
    <cellStyle name="Migliaia 29 4 5" xfId="5852" xr:uid="{00000000-0005-0000-0000-0000270A0000}"/>
    <cellStyle name="Migliaia 29 4 6" xfId="5853" xr:uid="{00000000-0005-0000-0000-0000280A0000}"/>
    <cellStyle name="Migliaia 29 5" xfId="624" xr:uid="{00000000-0005-0000-0000-0000290A0000}"/>
    <cellStyle name="Migliaia 29 5 2" xfId="3504" xr:uid="{00000000-0005-0000-0000-00002A0A0000}"/>
    <cellStyle name="Migliaia 29 5 3" xfId="5854" xr:uid="{00000000-0005-0000-0000-00002B0A0000}"/>
    <cellStyle name="Migliaia 29 5 4" xfId="5855" xr:uid="{00000000-0005-0000-0000-00002C0A0000}"/>
    <cellStyle name="Migliaia 29 5 5" xfId="5856" xr:uid="{00000000-0005-0000-0000-00002D0A0000}"/>
    <cellStyle name="Migliaia 29 6" xfId="625" xr:uid="{00000000-0005-0000-0000-00002E0A0000}"/>
    <cellStyle name="Migliaia 29 6 2" xfId="3190" xr:uid="{00000000-0005-0000-0000-00002F0A0000}"/>
    <cellStyle name="Migliaia 29 7" xfId="1901" xr:uid="{00000000-0005-0000-0000-0000300A0000}"/>
    <cellStyle name="Migliaia 29 8" xfId="5857" xr:uid="{00000000-0005-0000-0000-0000310A0000}"/>
    <cellStyle name="Migliaia 29 9" xfId="5858" xr:uid="{00000000-0005-0000-0000-0000320A0000}"/>
    <cellStyle name="Migliaia 3" xfId="626" xr:uid="{00000000-0005-0000-0000-0000330A0000}"/>
    <cellStyle name="Migliaia 3 2" xfId="627" xr:uid="{00000000-0005-0000-0000-0000340A0000}"/>
    <cellStyle name="Migliaia 3 2 2" xfId="2308" xr:uid="{00000000-0005-0000-0000-0000350A0000}"/>
    <cellStyle name="Migliaia 3 2 2 2" xfId="4275" xr:uid="{00000000-0005-0000-0000-0000360A0000}"/>
    <cellStyle name="Migliaia 3 2 3" xfId="3257" xr:uid="{00000000-0005-0000-0000-0000370A0000}"/>
    <cellStyle name="Migliaia 3 2 4" xfId="5859" xr:uid="{00000000-0005-0000-0000-0000380A0000}"/>
    <cellStyle name="Migliaia 3 2 5" xfId="5860" xr:uid="{00000000-0005-0000-0000-0000390A0000}"/>
    <cellStyle name="Migliaia 3 3" xfId="628" xr:uid="{00000000-0005-0000-0000-00003A0A0000}"/>
    <cellStyle name="Migliaia 3 3 2" xfId="629" xr:uid="{00000000-0005-0000-0000-00003B0A0000}"/>
    <cellStyle name="Migliaia 3 3 2 2" xfId="2310" xr:uid="{00000000-0005-0000-0000-00003C0A0000}"/>
    <cellStyle name="Migliaia 3 3 2 3" xfId="3506" xr:uid="{00000000-0005-0000-0000-00003D0A0000}"/>
    <cellStyle name="Migliaia 3 3 2 4" xfId="2309" xr:uid="{00000000-0005-0000-0000-00003E0A0000}"/>
    <cellStyle name="Migliaia 3 3 2 5" xfId="5861" xr:uid="{00000000-0005-0000-0000-00003F0A0000}"/>
    <cellStyle name="Migliaia 3 3 3" xfId="3507" xr:uid="{00000000-0005-0000-0000-0000400A0000}"/>
    <cellStyle name="Migliaia 3 3 3 2" xfId="4277" xr:uid="{00000000-0005-0000-0000-0000410A0000}"/>
    <cellStyle name="Migliaia 3 3 3 3" xfId="5862" xr:uid="{00000000-0005-0000-0000-0000420A0000}"/>
    <cellStyle name="Migliaia 3 3 3 4" xfId="5863" xr:uid="{00000000-0005-0000-0000-0000430A0000}"/>
    <cellStyle name="Migliaia 3 3 3 5" xfId="5864" xr:uid="{00000000-0005-0000-0000-0000440A0000}"/>
    <cellStyle name="Migliaia 3 3 4" xfId="4276" xr:uid="{00000000-0005-0000-0000-0000450A0000}"/>
    <cellStyle name="Migliaia 3 3 5" xfId="3505" xr:uid="{00000000-0005-0000-0000-0000460A0000}"/>
    <cellStyle name="Migliaia 3 3 6" xfId="5865" xr:uid="{00000000-0005-0000-0000-0000470A0000}"/>
    <cellStyle name="Migliaia 3 3 7" xfId="5866" xr:uid="{00000000-0005-0000-0000-0000480A0000}"/>
    <cellStyle name="Migliaia 3 4" xfId="630" xr:uid="{00000000-0005-0000-0000-0000490A0000}"/>
    <cellStyle name="Migliaia 3 4 2" xfId="2311" xr:uid="{00000000-0005-0000-0000-00004A0A0000}"/>
    <cellStyle name="Migliaia 3 4 2 2" xfId="4279" xr:uid="{00000000-0005-0000-0000-00004B0A0000}"/>
    <cellStyle name="Migliaia 3 4 2 3" xfId="3509" xr:uid="{00000000-0005-0000-0000-00004C0A0000}"/>
    <cellStyle name="Migliaia 3 4 3" xfId="4278" xr:uid="{00000000-0005-0000-0000-00004D0A0000}"/>
    <cellStyle name="Migliaia 3 4 4" xfId="3508" xr:uid="{00000000-0005-0000-0000-00004E0A0000}"/>
    <cellStyle name="Migliaia 3 4 5" xfId="5867" xr:uid="{00000000-0005-0000-0000-00004F0A0000}"/>
    <cellStyle name="Migliaia 3 4 6" xfId="5868" xr:uid="{00000000-0005-0000-0000-0000500A0000}"/>
    <cellStyle name="Migliaia 3 5" xfId="631" xr:uid="{00000000-0005-0000-0000-0000510A0000}"/>
    <cellStyle name="Migliaia 3 5 2" xfId="3510" xr:uid="{00000000-0005-0000-0000-0000520A0000}"/>
    <cellStyle name="Migliaia 3 5 3" xfId="5869" xr:uid="{00000000-0005-0000-0000-0000530A0000}"/>
    <cellStyle name="Migliaia 3 5 4" xfId="5870" xr:uid="{00000000-0005-0000-0000-0000540A0000}"/>
    <cellStyle name="Migliaia 3 5 5" xfId="5871" xr:uid="{00000000-0005-0000-0000-0000550A0000}"/>
    <cellStyle name="Migliaia 3 6" xfId="632" xr:uid="{00000000-0005-0000-0000-0000560A0000}"/>
    <cellStyle name="Migliaia 3 6 2" xfId="3191" xr:uid="{00000000-0005-0000-0000-0000570A0000}"/>
    <cellStyle name="Migliaia 3 7" xfId="1902" xr:uid="{00000000-0005-0000-0000-0000580A0000}"/>
    <cellStyle name="Migliaia 3 8" xfId="5872" xr:uid="{00000000-0005-0000-0000-0000590A0000}"/>
    <cellStyle name="Migliaia 3 9" xfId="5873" xr:uid="{00000000-0005-0000-0000-00005A0A0000}"/>
    <cellStyle name="Migliaia 30" xfId="633" xr:uid="{00000000-0005-0000-0000-00005B0A0000}"/>
    <cellStyle name="Migliaia 30 2" xfId="634" xr:uid="{00000000-0005-0000-0000-00005C0A0000}"/>
    <cellStyle name="Migliaia 30 2 2" xfId="2312" xr:uid="{00000000-0005-0000-0000-00005D0A0000}"/>
    <cellStyle name="Migliaia 30 2 2 2" xfId="4280" xr:uid="{00000000-0005-0000-0000-00005E0A0000}"/>
    <cellStyle name="Migliaia 30 2 3" xfId="3258" xr:uid="{00000000-0005-0000-0000-00005F0A0000}"/>
    <cellStyle name="Migliaia 30 2 4" xfId="5874" xr:uid="{00000000-0005-0000-0000-0000600A0000}"/>
    <cellStyle name="Migliaia 30 2 5" xfId="5875" xr:uid="{00000000-0005-0000-0000-0000610A0000}"/>
    <cellStyle name="Migliaia 30 3" xfId="635" xr:uid="{00000000-0005-0000-0000-0000620A0000}"/>
    <cellStyle name="Migliaia 30 3 2" xfId="636" xr:uid="{00000000-0005-0000-0000-0000630A0000}"/>
    <cellStyle name="Migliaia 30 3 2 2" xfId="2314" xr:uid="{00000000-0005-0000-0000-0000640A0000}"/>
    <cellStyle name="Migliaia 30 3 2 3" xfId="3512" xr:uid="{00000000-0005-0000-0000-0000650A0000}"/>
    <cellStyle name="Migliaia 30 3 2 4" xfId="2313" xr:uid="{00000000-0005-0000-0000-0000660A0000}"/>
    <cellStyle name="Migliaia 30 3 2 5" xfId="5876" xr:uid="{00000000-0005-0000-0000-0000670A0000}"/>
    <cellStyle name="Migliaia 30 3 3" xfId="3513" xr:uid="{00000000-0005-0000-0000-0000680A0000}"/>
    <cellStyle name="Migliaia 30 3 3 2" xfId="4282" xr:uid="{00000000-0005-0000-0000-0000690A0000}"/>
    <cellStyle name="Migliaia 30 3 3 3" xfId="5877" xr:uid="{00000000-0005-0000-0000-00006A0A0000}"/>
    <cellStyle name="Migliaia 30 3 3 4" xfId="5878" xr:uid="{00000000-0005-0000-0000-00006B0A0000}"/>
    <cellStyle name="Migliaia 30 3 3 5" xfId="5879" xr:uid="{00000000-0005-0000-0000-00006C0A0000}"/>
    <cellStyle name="Migliaia 30 3 4" xfId="4281" xr:uid="{00000000-0005-0000-0000-00006D0A0000}"/>
    <cellStyle name="Migliaia 30 3 5" xfId="3511" xr:uid="{00000000-0005-0000-0000-00006E0A0000}"/>
    <cellStyle name="Migliaia 30 3 6" xfId="5880" xr:uid="{00000000-0005-0000-0000-00006F0A0000}"/>
    <cellStyle name="Migliaia 30 3 7" xfId="5881" xr:uid="{00000000-0005-0000-0000-0000700A0000}"/>
    <cellStyle name="Migliaia 30 4" xfId="637" xr:uid="{00000000-0005-0000-0000-0000710A0000}"/>
    <cellStyle name="Migliaia 30 4 2" xfId="2315" xr:uid="{00000000-0005-0000-0000-0000720A0000}"/>
    <cellStyle name="Migliaia 30 4 2 2" xfId="4284" xr:uid="{00000000-0005-0000-0000-0000730A0000}"/>
    <cellStyle name="Migliaia 30 4 2 3" xfId="3515" xr:uid="{00000000-0005-0000-0000-0000740A0000}"/>
    <cellStyle name="Migliaia 30 4 3" xfId="4283" xr:uid="{00000000-0005-0000-0000-0000750A0000}"/>
    <cellStyle name="Migliaia 30 4 4" xfId="3514" xr:uid="{00000000-0005-0000-0000-0000760A0000}"/>
    <cellStyle name="Migliaia 30 4 5" xfId="5882" xr:uid="{00000000-0005-0000-0000-0000770A0000}"/>
    <cellStyle name="Migliaia 30 4 6" xfId="5883" xr:uid="{00000000-0005-0000-0000-0000780A0000}"/>
    <cellStyle name="Migliaia 30 5" xfId="638" xr:uid="{00000000-0005-0000-0000-0000790A0000}"/>
    <cellStyle name="Migliaia 30 5 2" xfId="3516" xr:uid="{00000000-0005-0000-0000-00007A0A0000}"/>
    <cellStyle name="Migliaia 30 5 3" xfId="5884" xr:uid="{00000000-0005-0000-0000-00007B0A0000}"/>
    <cellStyle name="Migliaia 30 5 4" xfId="5885" xr:uid="{00000000-0005-0000-0000-00007C0A0000}"/>
    <cellStyle name="Migliaia 30 5 5" xfId="5886" xr:uid="{00000000-0005-0000-0000-00007D0A0000}"/>
    <cellStyle name="Migliaia 30 6" xfId="639" xr:uid="{00000000-0005-0000-0000-00007E0A0000}"/>
    <cellStyle name="Migliaia 30 6 2" xfId="3192" xr:uid="{00000000-0005-0000-0000-00007F0A0000}"/>
    <cellStyle name="Migliaia 30 7" xfId="1903" xr:uid="{00000000-0005-0000-0000-0000800A0000}"/>
    <cellStyle name="Migliaia 30 8" xfId="5887" xr:uid="{00000000-0005-0000-0000-0000810A0000}"/>
    <cellStyle name="Migliaia 30 9" xfId="5888" xr:uid="{00000000-0005-0000-0000-0000820A0000}"/>
    <cellStyle name="Migliaia 31" xfId="640" xr:uid="{00000000-0005-0000-0000-0000830A0000}"/>
    <cellStyle name="Migliaia 31 2" xfId="641" xr:uid="{00000000-0005-0000-0000-0000840A0000}"/>
    <cellStyle name="Migliaia 31 2 2" xfId="2316" xr:uid="{00000000-0005-0000-0000-0000850A0000}"/>
    <cellStyle name="Migliaia 31 2 2 2" xfId="4285" xr:uid="{00000000-0005-0000-0000-0000860A0000}"/>
    <cellStyle name="Migliaia 31 2 3" xfId="3259" xr:uid="{00000000-0005-0000-0000-0000870A0000}"/>
    <cellStyle name="Migliaia 31 2 4" xfId="5889" xr:uid="{00000000-0005-0000-0000-0000880A0000}"/>
    <cellStyle name="Migliaia 31 2 5" xfId="5890" xr:uid="{00000000-0005-0000-0000-0000890A0000}"/>
    <cellStyle name="Migliaia 31 3" xfId="642" xr:uid="{00000000-0005-0000-0000-00008A0A0000}"/>
    <cellStyle name="Migliaia 31 3 2" xfId="643" xr:uid="{00000000-0005-0000-0000-00008B0A0000}"/>
    <cellStyle name="Migliaia 31 3 2 2" xfId="2318" xr:uid="{00000000-0005-0000-0000-00008C0A0000}"/>
    <cellStyle name="Migliaia 31 3 2 3" xfId="3518" xr:uid="{00000000-0005-0000-0000-00008D0A0000}"/>
    <cellStyle name="Migliaia 31 3 2 4" xfId="2317" xr:uid="{00000000-0005-0000-0000-00008E0A0000}"/>
    <cellStyle name="Migliaia 31 3 2 5" xfId="5891" xr:uid="{00000000-0005-0000-0000-00008F0A0000}"/>
    <cellStyle name="Migliaia 31 3 3" xfId="3519" xr:uid="{00000000-0005-0000-0000-0000900A0000}"/>
    <cellStyle name="Migliaia 31 3 3 2" xfId="4287" xr:uid="{00000000-0005-0000-0000-0000910A0000}"/>
    <cellStyle name="Migliaia 31 3 3 3" xfId="5892" xr:uid="{00000000-0005-0000-0000-0000920A0000}"/>
    <cellStyle name="Migliaia 31 3 3 4" xfId="5893" xr:uid="{00000000-0005-0000-0000-0000930A0000}"/>
    <cellStyle name="Migliaia 31 3 3 5" xfId="5894" xr:uid="{00000000-0005-0000-0000-0000940A0000}"/>
    <cellStyle name="Migliaia 31 3 4" xfId="4286" xr:uid="{00000000-0005-0000-0000-0000950A0000}"/>
    <cellStyle name="Migliaia 31 3 5" xfId="3517" xr:uid="{00000000-0005-0000-0000-0000960A0000}"/>
    <cellStyle name="Migliaia 31 3 6" xfId="5895" xr:uid="{00000000-0005-0000-0000-0000970A0000}"/>
    <cellStyle name="Migliaia 31 3 7" xfId="5896" xr:uid="{00000000-0005-0000-0000-0000980A0000}"/>
    <cellStyle name="Migliaia 31 4" xfId="644" xr:uid="{00000000-0005-0000-0000-0000990A0000}"/>
    <cellStyle name="Migliaia 31 4 2" xfId="2319" xr:uid="{00000000-0005-0000-0000-00009A0A0000}"/>
    <cellStyle name="Migliaia 31 4 2 2" xfId="4289" xr:uid="{00000000-0005-0000-0000-00009B0A0000}"/>
    <cellStyle name="Migliaia 31 4 2 3" xfId="3521" xr:uid="{00000000-0005-0000-0000-00009C0A0000}"/>
    <cellStyle name="Migliaia 31 4 3" xfId="4288" xr:uid="{00000000-0005-0000-0000-00009D0A0000}"/>
    <cellStyle name="Migliaia 31 4 4" xfId="3520" xr:uid="{00000000-0005-0000-0000-00009E0A0000}"/>
    <cellStyle name="Migliaia 31 4 5" xfId="5897" xr:uid="{00000000-0005-0000-0000-00009F0A0000}"/>
    <cellStyle name="Migliaia 31 4 6" xfId="5898" xr:uid="{00000000-0005-0000-0000-0000A00A0000}"/>
    <cellStyle name="Migliaia 31 5" xfId="645" xr:uid="{00000000-0005-0000-0000-0000A10A0000}"/>
    <cellStyle name="Migliaia 31 5 2" xfId="3522" xr:uid="{00000000-0005-0000-0000-0000A20A0000}"/>
    <cellStyle name="Migliaia 31 5 3" xfId="5899" xr:uid="{00000000-0005-0000-0000-0000A30A0000}"/>
    <cellStyle name="Migliaia 31 5 4" xfId="5900" xr:uid="{00000000-0005-0000-0000-0000A40A0000}"/>
    <cellStyle name="Migliaia 31 5 5" xfId="5901" xr:uid="{00000000-0005-0000-0000-0000A50A0000}"/>
    <cellStyle name="Migliaia 31 6" xfId="646" xr:uid="{00000000-0005-0000-0000-0000A60A0000}"/>
    <cellStyle name="Migliaia 31 6 2" xfId="3193" xr:uid="{00000000-0005-0000-0000-0000A70A0000}"/>
    <cellStyle name="Migliaia 31 7" xfId="1904" xr:uid="{00000000-0005-0000-0000-0000A80A0000}"/>
    <cellStyle name="Migliaia 31 8" xfId="5902" xr:uid="{00000000-0005-0000-0000-0000A90A0000}"/>
    <cellStyle name="Migliaia 31 9" xfId="5903" xr:uid="{00000000-0005-0000-0000-0000AA0A0000}"/>
    <cellStyle name="Migliaia 32" xfId="647" xr:uid="{00000000-0005-0000-0000-0000AB0A0000}"/>
    <cellStyle name="Migliaia 32 2" xfId="648" xr:uid="{00000000-0005-0000-0000-0000AC0A0000}"/>
    <cellStyle name="Migliaia 32 2 2" xfId="2320" xr:uid="{00000000-0005-0000-0000-0000AD0A0000}"/>
    <cellStyle name="Migliaia 32 2 2 2" xfId="4290" xr:uid="{00000000-0005-0000-0000-0000AE0A0000}"/>
    <cellStyle name="Migliaia 32 2 3" xfId="3260" xr:uid="{00000000-0005-0000-0000-0000AF0A0000}"/>
    <cellStyle name="Migliaia 32 2 4" xfId="5904" xr:uid="{00000000-0005-0000-0000-0000B00A0000}"/>
    <cellStyle name="Migliaia 32 2 5" xfId="5905" xr:uid="{00000000-0005-0000-0000-0000B10A0000}"/>
    <cellStyle name="Migliaia 32 3" xfId="649" xr:uid="{00000000-0005-0000-0000-0000B20A0000}"/>
    <cellStyle name="Migliaia 32 3 2" xfId="650" xr:uid="{00000000-0005-0000-0000-0000B30A0000}"/>
    <cellStyle name="Migliaia 32 3 2 2" xfId="2322" xr:uid="{00000000-0005-0000-0000-0000B40A0000}"/>
    <cellStyle name="Migliaia 32 3 2 3" xfId="3524" xr:uid="{00000000-0005-0000-0000-0000B50A0000}"/>
    <cellStyle name="Migliaia 32 3 2 4" xfId="2321" xr:uid="{00000000-0005-0000-0000-0000B60A0000}"/>
    <cellStyle name="Migliaia 32 3 2 5" xfId="5906" xr:uid="{00000000-0005-0000-0000-0000B70A0000}"/>
    <cellStyle name="Migliaia 32 3 3" xfId="3525" xr:uid="{00000000-0005-0000-0000-0000B80A0000}"/>
    <cellStyle name="Migliaia 32 3 3 2" xfId="4292" xr:uid="{00000000-0005-0000-0000-0000B90A0000}"/>
    <cellStyle name="Migliaia 32 3 3 3" xfId="5907" xr:uid="{00000000-0005-0000-0000-0000BA0A0000}"/>
    <cellStyle name="Migliaia 32 3 3 4" xfId="5908" xr:uid="{00000000-0005-0000-0000-0000BB0A0000}"/>
    <cellStyle name="Migliaia 32 3 3 5" xfId="5909" xr:uid="{00000000-0005-0000-0000-0000BC0A0000}"/>
    <cellStyle name="Migliaia 32 3 4" xfId="4291" xr:uid="{00000000-0005-0000-0000-0000BD0A0000}"/>
    <cellStyle name="Migliaia 32 3 5" xfId="3523" xr:uid="{00000000-0005-0000-0000-0000BE0A0000}"/>
    <cellStyle name="Migliaia 32 3 6" xfId="5910" xr:uid="{00000000-0005-0000-0000-0000BF0A0000}"/>
    <cellStyle name="Migliaia 32 3 7" xfId="5911" xr:uid="{00000000-0005-0000-0000-0000C00A0000}"/>
    <cellStyle name="Migliaia 32 4" xfId="651" xr:uid="{00000000-0005-0000-0000-0000C10A0000}"/>
    <cellStyle name="Migliaia 32 4 2" xfId="2323" xr:uid="{00000000-0005-0000-0000-0000C20A0000}"/>
    <cellStyle name="Migliaia 32 4 2 2" xfId="4294" xr:uid="{00000000-0005-0000-0000-0000C30A0000}"/>
    <cellStyle name="Migliaia 32 4 2 3" xfId="3527" xr:uid="{00000000-0005-0000-0000-0000C40A0000}"/>
    <cellStyle name="Migliaia 32 4 3" xfId="4293" xr:uid="{00000000-0005-0000-0000-0000C50A0000}"/>
    <cellStyle name="Migliaia 32 4 4" xfId="3526" xr:uid="{00000000-0005-0000-0000-0000C60A0000}"/>
    <cellStyle name="Migliaia 32 4 5" xfId="5912" xr:uid="{00000000-0005-0000-0000-0000C70A0000}"/>
    <cellStyle name="Migliaia 32 4 6" xfId="5913" xr:uid="{00000000-0005-0000-0000-0000C80A0000}"/>
    <cellStyle name="Migliaia 32 5" xfId="652" xr:uid="{00000000-0005-0000-0000-0000C90A0000}"/>
    <cellStyle name="Migliaia 32 5 2" xfId="3528" xr:uid="{00000000-0005-0000-0000-0000CA0A0000}"/>
    <cellStyle name="Migliaia 32 5 3" xfId="5914" xr:uid="{00000000-0005-0000-0000-0000CB0A0000}"/>
    <cellStyle name="Migliaia 32 5 4" xfId="5915" xr:uid="{00000000-0005-0000-0000-0000CC0A0000}"/>
    <cellStyle name="Migliaia 32 5 5" xfId="5916" xr:uid="{00000000-0005-0000-0000-0000CD0A0000}"/>
    <cellStyle name="Migliaia 32 6" xfId="653" xr:uid="{00000000-0005-0000-0000-0000CE0A0000}"/>
    <cellStyle name="Migliaia 32 6 2" xfId="3194" xr:uid="{00000000-0005-0000-0000-0000CF0A0000}"/>
    <cellStyle name="Migliaia 32 7" xfId="1905" xr:uid="{00000000-0005-0000-0000-0000D00A0000}"/>
    <cellStyle name="Migliaia 32 8" xfId="5917" xr:uid="{00000000-0005-0000-0000-0000D10A0000}"/>
    <cellStyle name="Migliaia 32 9" xfId="5918" xr:uid="{00000000-0005-0000-0000-0000D20A0000}"/>
    <cellStyle name="Migliaia 33" xfId="654" xr:uid="{00000000-0005-0000-0000-0000D30A0000}"/>
    <cellStyle name="Migliaia 33 2" xfId="655" xr:uid="{00000000-0005-0000-0000-0000D40A0000}"/>
    <cellStyle name="Migliaia 33 2 2" xfId="2324" xr:uid="{00000000-0005-0000-0000-0000D50A0000}"/>
    <cellStyle name="Migliaia 33 2 2 2" xfId="4295" xr:uid="{00000000-0005-0000-0000-0000D60A0000}"/>
    <cellStyle name="Migliaia 33 2 3" xfId="3261" xr:uid="{00000000-0005-0000-0000-0000D70A0000}"/>
    <cellStyle name="Migliaia 33 2 4" xfId="5919" xr:uid="{00000000-0005-0000-0000-0000D80A0000}"/>
    <cellStyle name="Migliaia 33 2 5" xfId="5920" xr:uid="{00000000-0005-0000-0000-0000D90A0000}"/>
    <cellStyle name="Migliaia 33 3" xfId="656" xr:uid="{00000000-0005-0000-0000-0000DA0A0000}"/>
    <cellStyle name="Migliaia 33 3 2" xfId="657" xr:uid="{00000000-0005-0000-0000-0000DB0A0000}"/>
    <cellStyle name="Migliaia 33 3 2 2" xfId="2326" xr:uid="{00000000-0005-0000-0000-0000DC0A0000}"/>
    <cellStyle name="Migliaia 33 3 2 3" xfId="3530" xr:uid="{00000000-0005-0000-0000-0000DD0A0000}"/>
    <cellStyle name="Migliaia 33 3 2 4" xfId="2325" xr:uid="{00000000-0005-0000-0000-0000DE0A0000}"/>
    <cellStyle name="Migliaia 33 3 2 5" xfId="5921" xr:uid="{00000000-0005-0000-0000-0000DF0A0000}"/>
    <cellStyle name="Migliaia 33 3 3" xfId="3531" xr:uid="{00000000-0005-0000-0000-0000E00A0000}"/>
    <cellStyle name="Migliaia 33 3 3 2" xfId="4297" xr:uid="{00000000-0005-0000-0000-0000E10A0000}"/>
    <cellStyle name="Migliaia 33 3 3 3" xfId="5922" xr:uid="{00000000-0005-0000-0000-0000E20A0000}"/>
    <cellStyle name="Migliaia 33 3 3 4" xfId="5923" xr:uid="{00000000-0005-0000-0000-0000E30A0000}"/>
    <cellStyle name="Migliaia 33 3 3 5" xfId="5924" xr:uid="{00000000-0005-0000-0000-0000E40A0000}"/>
    <cellStyle name="Migliaia 33 3 4" xfId="4296" xr:uid="{00000000-0005-0000-0000-0000E50A0000}"/>
    <cellStyle name="Migliaia 33 3 5" xfId="3529" xr:uid="{00000000-0005-0000-0000-0000E60A0000}"/>
    <cellStyle name="Migliaia 33 3 6" xfId="5925" xr:uid="{00000000-0005-0000-0000-0000E70A0000}"/>
    <cellStyle name="Migliaia 33 3 7" xfId="5926" xr:uid="{00000000-0005-0000-0000-0000E80A0000}"/>
    <cellStyle name="Migliaia 33 4" xfId="658" xr:uid="{00000000-0005-0000-0000-0000E90A0000}"/>
    <cellStyle name="Migliaia 33 4 2" xfId="2327" xr:uid="{00000000-0005-0000-0000-0000EA0A0000}"/>
    <cellStyle name="Migliaia 33 4 2 2" xfId="4299" xr:uid="{00000000-0005-0000-0000-0000EB0A0000}"/>
    <cellStyle name="Migliaia 33 4 2 3" xfId="3533" xr:uid="{00000000-0005-0000-0000-0000EC0A0000}"/>
    <cellStyle name="Migliaia 33 4 3" xfId="4298" xr:uid="{00000000-0005-0000-0000-0000ED0A0000}"/>
    <cellStyle name="Migliaia 33 4 4" xfId="3532" xr:uid="{00000000-0005-0000-0000-0000EE0A0000}"/>
    <cellStyle name="Migliaia 33 4 5" xfId="5927" xr:uid="{00000000-0005-0000-0000-0000EF0A0000}"/>
    <cellStyle name="Migliaia 33 4 6" xfId="5928" xr:uid="{00000000-0005-0000-0000-0000F00A0000}"/>
    <cellStyle name="Migliaia 33 5" xfId="659" xr:uid="{00000000-0005-0000-0000-0000F10A0000}"/>
    <cellStyle name="Migliaia 33 5 2" xfId="3534" xr:uid="{00000000-0005-0000-0000-0000F20A0000}"/>
    <cellStyle name="Migliaia 33 5 3" xfId="5929" xr:uid="{00000000-0005-0000-0000-0000F30A0000}"/>
    <cellStyle name="Migliaia 33 5 4" xfId="5930" xr:uid="{00000000-0005-0000-0000-0000F40A0000}"/>
    <cellStyle name="Migliaia 33 5 5" xfId="5931" xr:uid="{00000000-0005-0000-0000-0000F50A0000}"/>
    <cellStyle name="Migliaia 33 6" xfId="660" xr:uid="{00000000-0005-0000-0000-0000F60A0000}"/>
    <cellStyle name="Migliaia 33 6 2" xfId="3195" xr:uid="{00000000-0005-0000-0000-0000F70A0000}"/>
    <cellStyle name="Migliaia 33 7" xfId="1906" xr:uid="{00000000-0005-0000-0000-0000F80A0000}"/>
    <cellStyle name="Migliaia 33 8" xfId="5932" xr:uid="{00000000-0005-0000-0000-0000F90A0000}"/>
    <cellStyle name="Migliaia 33 9" xfId="5933" xr:uid="{00000000-0005-0000-0000-0000FA0A0000}"/>
    <cellStyle name="Migliaia 34" xfId="661" xr:uid="{00000000-0005-0000-0000-0000FB0A0000}"/>
    <cellStyle name="Migliaia 34 2" xfId="662" xr:uid="{00000000-0005-0000-0000-0000FC0A0000}"/>
    <cellStyle name="Migliaia 34 2 2" xfId="2328" xr:uid="{00000000-0005-0000-0000-0000FD0A0000}"/>
    <cellStyle name="Migliaia 34 2 2 2" xfId="4300" xr:uid="{00000000-0005-0000-0000-0000FE0A0000}"/>
    <cellStyle name="Migliaia 34 2 3" xfId="3262" xr:uid="{00000000-0005-0000-0000-0000FF0A0000}"/>
    <cellStyle name="Migliaia 34 2 4" xfId="5934" xr:uid="{00000000-0005-0000-0000-0000000B0000}"/>
    <cellStyle name="Migliaia 34 2 5" xfId="5935" xr:uid="{00000000-0005-0000-0000-0000010B0000}"/>
    <cellStyle name="Migliaia 34 3" xfId="663" xr:uid="{00000000-0005-0000-0000-0000020B0000}"/>
    <cellStyle name="Migliaia 34 3 2" xfId="664" xr:uid="{00000000-0005-0000-0000-0000030B0000}"/>
    <cellStyle name="Migliaia 34 3 2 2" xfId="2330" xr:uid="{00000000-0005-0000-0000-0000040B0000}"/>
    <cellStyle name="Migliaia 34 3 2 3" xfId="3536" xr:uid="{00000000-0005-0000-0000-0000050B0000}"/>
    <cellStyle name="Migliaia 34 3 2 4" xfId="2329" xr:uid="{00000000-0005-0000-0000-0000060B0000}"/>
    <cellStyle name="Migliaia 34 3 2 5" xfId="5936" xr:uid="{00000000-0005-0000-0000-0000070B0000}"/>
    <cellStyle name="Migliaia 34 3 3" xfId="3537" xr:uid="{00000000-0005-0000-0000-0000080B0000}"/>
    <cellStyle name="Migliaia 34 3 3 2" xfId="4302" xr:uid="{00000000-0005-0000-0000-0000090B0000}"/>
    <cellStyle name="Migliaia 34 3 3 3" xfId="5937" xr:uid="{00000000-0005-0000-0000-00000A0B0000}"/>
    <cellStyle name="Migliaia 34 3 3 4" xfId="5938" xr:uid="{00000000-0005-0000-0000-00000B0B0000}"/>
    <cellStyle name="Migliaia 34 3 3 5" xfId="5939" xr:uid="{00000000-0005-0000-0000-00000C0B0000}"/>
    <cellStyle name="Migliaia 34 3 4" xfId="4301" xr:uid="{00000000-0005-0000-0000-00000D0B0000}"/>
    <cellStyle name="Migliaia 34 3 5" xfId="3535" xr:uid="{00000000-0005-0000-0000-00000E0B0000}"/>
    <cellStyle name="Migliaia 34 3 6" xfId="5940" xr:uid="{00000000-0005-0000-0000-00000F0B0000}"/>
    <cellStyle name="Migliaia 34 3 7" xfId="5941" xr:uid="{00000000-0005-0000-0000-0000100B0000}"/>
    <cellStyle name="Migliaia 34 4" xfId="665" xr:uid="{00000000-0005-0000-0000-0000110B0000}"/>
    <cellStyle name="Migliaia 34 4 2" xfId="2331" xr:uid="{00000000-0005-0000-0000-0000120B0000}"/>
    <cellStyle name="Migliaia 34 4 2 2" xfId="4304" xr:uid="{00000000-0005-0000-0000-0000130B0000}"/>
    <cellStyle name="Migliaia 34 4 2 3" xfId="3539" xr:uid="{00000000-0005-0000-0000-0000140B0000}"/>
    <cellStyle name="Migliaia 34 4 3" xfId="4303" xr:uid="{00000000-0005-0000-0000-0000150B0000}"/>
    <cellStyle name="Migliaia 34 4 4" xfId="3538" xr:uid="{00000000-0005-0000-0000-0000160B0000}"/>
    <cellStyle name="Migliaia 34 4 5" xfId="5942" xr:uid="{00000000-0005-0000-0000-0000170B0000}"/>
    <cellStyle name="Migliaia 34 4 6" xfId="5943" xr:uid="{00000000-0005-0000-0000-0000180B0000}"/>
    <cellStyle name="Migliaia 34 5" xfId="666" xr:uid="{00000000-0005-0000-0000-0000190B0000}"/>
    <cellStyle name="Migliaia 34 5 2" xfId="3540" xr:uid="{00000000-0005-0000-0000-00001A0B0000}"/>
    <cellStyle name="Migliaia 34 5 3" xfId="5944" xr:uid="{00000000-0005-0000-0000-00001B0B0000}"/>
    <cellStyle name="Migliaia 34 5 4" xfId="5945" xr:uid="{00000000-0005-0000-0000-00001C0B0000}"/>
    <cellStyle name="Migliaia 34 5 5" xfId="5946" xr:uid="{00000000-0005-0000-0000-00001D0B0000}"/>
    <cellStyle name="Migliaia 34 6" xfId="667" xr:uid="{00000000-0005-0000-0000-00001E0B0000}"/>
    <cellStyle name="Migliaia 34 6 2" xfId="3196" xr:uid="{00000000-0005-0000-0000-00001F0B0000}"/>
    <cellStyle name="Migliaia 34 7" xfId="1907" xr:uid="{00000000-0005-0000-0000-0000200B0000}"/>
    <cellStyle name="Migliaia 34 8" xfId="5947" xr:uid="{00000000-0005-0000-0000-0000210B0000}"/>
    <cellStyle name="Migliaia 34 9" xfId="5948" xr:uid="{00000000-0005-0000-0000-0000220B0000}"/>
    <cellStyle name="Migliaia 35" xfId="668" xr:uid="{00000000-0005-0000-0000-0000230B0000}"/>
    <cellStyle name="Migliaia 35 2" xfId="669" xr:uid="{00000000-0005-0000-0000-0000240B0000}"/>
    <cellStyle name="Migliaia 35 2 2" xfId="2332" xr:uid="{00000000-0005-0000-0000-0000250B0000}"/>
    <cellStyle name="Migliaia 35 2 2 2" xfId="4305" xr:uid="{00000000-0005-0000-0000-0000260B0000}"/>
    <cellStyle name="Migliaia 35 2 3" xfId="3263" xr:uid="{00000000-0005-0000-0000-0000270B0000}"/>
    <cellStyle name="Migliaia 35 2 4" xfId="5949" xr:uid="{00000000-0005-0000-0000-0000280B0000}"/>
    <cellStyle name="Migliaia 35 2 5" xfId="5950" xr:uid="{00000000-0005-0000-0000-0000290B0000}"/>
    <cellStyle name="Migliaia 35 3" xfId="670" xr:uid="{00000000-0005-0000-0000-00002A0B0000}"/>
    <cellStyle name="Migliaia 35 3 2" xfId="671" xr:uid="{00000000-0005-0000-0000-00002B0B0000}"/>
    <cellStyle name="Migliaia 35 3 2 2" xfId="2334" xr:uid="{00000000-0005-0000-0000-00002C0B0000}"/>
    <cellStyle name="Migliaia 35 3 2 3" xfId="3542" xr:uid="{00000000-0005-0000-0000-00002D0B0000}"/>
    <cellStyle name="Migliaia 35 3 2 4" xfId="2333" xr:uid="{00000000-0005-0000-0000-00002E0B0000}"/>
    <cellStyle name="Migliaia 35 3 2 5" xfId="5951" xr:uid="{00000000-0005-0000-0000-00002F0B0000}"/>
    <cellStyle name="Migliaia 35 3 3" xfId="3543" xr:uid="{00000000-0005-0000-0000-0000300B0000}"/>
    <cellStyle name="Migliaia 35 3 3 2" xfId="4307" xr:uid="{00000000-0005-0000-0000-0000310B0000}"/>
    <cellStyle name="Migliaia 35 3 3 3" xfId="5952" xr:uid="{00000000-0005-0000-0000-0000320B0000}"/>
    <cellStyle name="Migliaia 35 3 3 4" xfId="5953" xr:uid="{00000000-0005-0000-0000-0000330B0000}"/>
    <cellStyle name="Migliaia 35 3 3 5" xfId="5954" xr:uid="{00000000-0005-0000-0000-0000340B0000}"/>
    <cellStyle name="Migliaia 35 3 4" xfId="4306" xr:uid="{00000000-0005-0000-0000-0000350B0000}"/>
    <cellStyle name="Migliaia 35 3 5" xfId="3541" xr:uid="{00000000-0005-0000-0000-0000360B0000}"/>
    <cellStyle name="Migliaia 35 3 6" xfId="5955" xr:uid="{00000000-0005-0000-0000-0000370B0000}"/>
    <cellStyle name="Migliaia 35 3 7" xfId="5956" xr:uid="{00000000-0005-0000-0000-0000380B0000}"/>
    <cellStyle name="Migliaia 35 4" xfId="672" xr:uid="{00000000-0005-0000-0000-0000390B0000}"/>
    <cellStyle name="Migliaia 35 4 2" xfId="2335" xr:uid="{00000000-0005-0000-0000-00003A0B0000}"/>
    <cellStyle name="Migliaia 35 4 2 2" xfId="4309" xr:uid="{00000000-0005-0000-0000-00003B0B0000}"/>
    <cellStyle name="Migliaia 35 4 2 3" xfId="3545" xr:uid="{00000000-0005-0000-0000-00003C0B0000}"/>
    <cellStyle name="Migliaia 35 4 3" xfId="4308" xr:uid="{00000000-0005-0000-0000-00003D0B0000}"/>
    <cellStyle name="Migliaia 35 4 4" xfId="3544" xr:uid="{00000000-0005-0000-0000-00003E0B0000}"/>
    <cellStyle name="Migliaia 35 4 5" xfId="5957" xr:uid="{00000000-0005-0000-0000-00003F0B0000}"/>
    <cellStyle name="Migliaia 35 4 6" xfId="5958" xr:uid="{00000000-0005-0000-0000-0000400B0000}"/>
    <cellStyle name="Migliaia 35 5" xfId="673" xr:uid="{00000000-0005-0000-0000-0000410B0000}"/>
    <cellStyle name="Migliaia 35 5 2" xfId="3546" xr:uid="{00000000-0005-0000-0000-0000420B0000}"/>
    <cellStyle name="Migliaia 35 5 3" xfId="5959" xr:uid="{00000000-0005-0000-0000-0000430B0000}"/>
    <cellStyle name="Migliaia 35 5 4" xfId="5960" xr:uid="{00000000-0005-0000-0000-0000440B0000}"/>
    <cellStyle name="Migliaia 35 5 5" xfId="5961" xr:uid="{00000000-0005-0000-0000-0000450B0000}"/>
    <cellStyle name="Migliaia 35 6" xfId="674" xr:uid="{00000000-0005-0000-0000-0000460B0000}"/>
    <cellStyle name="Migliaia 35 6 2" xfId="3197" xr:uid="{00000000-0005-0000-0000-0000470B0000}"/>
    <cellStyle name="Migliaia 35 7" xfId="1908" xr:uid="{00000000-0005-0000-0000-0000480B0000}"/>
    <cellStyle name="Migliaia 35 8" xfId="5962" xr:uid="{00000000-0005-0000-0000-0000490B0000}"/>
    <cellStyle name="Migliaia 35 9" xfId="5963" xr:uid="{00000000-0005-0000-0000-00004A0B0000}"/>
    <cellStyle name="Migliaia 36" xfId="675" xr:uid="{00000000-0005-0000-0000-00004B0B0000}"/>
    <cellStyle name="Migliaia 36 2" xfId="676" xr:uid="{00000000-0005-0000-0000-00004C0B0000}"/>
    <cellStyle name="Migliaia 36 2 2" xfId="2336" xr:uid="{00000000-0005-0000-0000-00004D0B0000}"/>
    <cellStyle name="Migliaia 36 2 2 2" xfId="4310" xr:uid="{00000000-0005-0000-0000-00004E0B0000}"/>
    <cellStyle name="Migliaia 36 2 3" xfId="3264" xr:uid="{00000000-0005-0000-0000-00004F0B0000}"/>
    <cellStyle name="Migliaia 36 2 4" xfId="5964" xr:uid="{00000000-0005-0000-0000-0000500B0000}"/>
    <cellStyle name="Migliaia 36 2 5" xfId="5965" xr:uid="{00000000-0005-0000-0000-0000510B0000}"/>
    <cellStyle name="Migliaia 36 3" xfId="677" xr:uid="{00000000-0005-0000-0000-0000520B0000}"/>
    <cellStyle name="Migliaia 36 3 2" xfId="678" xr:uid="{00000000-0005-0000-0000-0000530B0000}"/>
    <cellStyle name="Migliaia 36 3 2 2" xfId="2338" xr:uid="{00000000-0005-0000-0000-0000540B0000}"/>
    <cellStyle name="Migliaia 36 3 2 3" xfId="3548" xr:uid="{00000000-0005-0000-0000-0000550B0000}"/>
    <cellStyle name="Migliaia 36 3 2 4" xfId="2337" xr:uid="{00000000-0005-0000-0000-0000560B0000}"/>
    <cellStyle name="Migliaia 36 3 2 5" xfId="5966" xr:uid="{00000000-0005-0000-0000-0000570B0000}"/>
    <cellStyle name="Migliaia 36 3 3" xfId="3549" xr:uid="{00000000-0005-0000-0000-0000580B0000}"/>
    <cellStyle name="Migliaia 36 3 3 2" xfId="4312" xr:uid="{00000000-0005-0000-0000-0000590B0000}"/>
    <cellStyle name="Migliaia 36 3 3 3" xfId="5967" xr:uid="{00000000-0005-0000-0000-00005A0B0000}"/>
    <cellStyle name="Migliaia 36 3 3 4" xfId="5968" xr:uid="{00000000-0005-0000-0000-00005B0B0000}"/>
    <cellStyle name="Migliaia 36 3 3 5" xfId="5969" xr:uid="{00000000-0005-0000-0000-00005C0B0000}"/>
    <cellStyle name="Migliaia 36 3 4" xfId="4311" xr:uid="{00000000-0005-0000-0000-00005D0B0000}"/>
    <cellStyle name="Migliaia 36 3 5" xfId="3547" xr:uid="{00000000-0005-0000-0000-00005E0B0000}"/>
    <cellStyle name="Migliaia 36 3 6" xfId="5970" xr:uid="{00000000-0005-0000-0000-00005F0B0000}"/>
    <cellStyle name="Migliaia 36 3 7" xfId="5971" xr:uid="{00000000-0005-0000-0000-0000600B0000}"/>
    <cellStyle name="Migliaia 36 4" xfId="679" xr:uid="{00000000-0005-0000-0000-0000610B0000}"/>
    <cellStyle name="Migliaia 36 4 2" xfId="2339" xr:uid="{00000000-0005-0000-0000-0000620B0000}"/>
    <cellStyle name="Migliaia 36 4 2 2" xfId="4314" xr:uid="{00000000-0005-0000-0000-0000630B0000}"/>
    <cellStyle name="Migliaia 36 4 2 3" xfId="3551" xr:uid="{00000000-0005-0000-0000-0000640B0000}"/>
    <cellStyle name="Migliaia 36 4 3" xfId="4313" xr:uid="{00000000-0005-0000-0000-0000650B0000}"/>
    <cellStyle name="Migliaia 36 4 4" xfId="3550" xr:uid="{00000000-0005-0000-0000-0000660B0000}"/>
    <cellStyle name="Migliaia 36 4 5" xfId="5972" xr:uid="{00000000-0005-0000-0000-0000670B0000}"/>
    <cellStyle name="Migliaia 36 4 6" xfId="5973" xr:uid="{00000000-0005-0000-0000-0000680B0000}"/>
    <cellStyle name="Migliaia 36 5" xfId="680" xr:uid="{00000000-0005-0000-0000-0000690B0000}"/>
    <cellStyle name="Migliaia 36 5 2" xfId="3552" xr:uid="{00000000-0005-0000-0000-00006A0B0000}"/>
    <cellStyle name="Migliaia 36 5 3" xfId="5974" xr:uid="{00000000-0005-0000-0000-00006B0B0000}"/>
    <cellStyle name="Migliaia 36 5 4" xfId="5975" xr:uid="{00000000-0005-0000-0000-00006C0B0000}"/>
    <cellStyle name="Migliaia 36 5 5" xfId="5976" xr:uid="{00000000-0005-0000-0000-00006D0B0000}"/>
    <cellStyle name="Migliaia 36 6" xfId="681" xr:uid="{00000000-0005-0000-0000-00006E0B0000}"/>
    <cellStyle name="Migliaia 36 6 2" xfId="3198" xr:uid="{00000000-0005-0000-0000-00006F0B0000}"/>
    <cellStyle name="Migliaia 36 7" xfId="1909" xr:uid="{00000000-0005-0000-0000-0000700B0000}"/>
    <cellStyle name="Migliaia 36 8" xfId="5977" xr:uid="{00000000-0005-0000-0000-0000710B0000}"/>
    <cellStyle name="Migliaia 36 9" xfId="5978" xr:uid="{00000000-0005-0000-0000-0000720B0000}"/>
    <cellStyle name="Migliaia 37" xfId="682" xr:uid="{00000000-0005-0000-0000-0000730B0000}"/>
    <cellStyle name="Migliaia 37 2" xfId="683" xr:uid="{00000000-0005-0000-0000-0000740B0000}"/>
    <cellStyle name="Migliaia 37 2 2" xfId="2340" xr:uid="{00000000-0005-0000-0000-0000750B0000}"/>
    <cellStyle name="Migliaia 37 2 2 2" xfId="4315" xr:uid="{00000000-0005-0000-0000-0000760B0000}"/>
    <cellStyle name="Migliaia 37 2 3" xfId="3265" xr:uid="{00000000-0005-0000-0000-0000770B0000}"/>
    <cellStyle name="Migliaia 37 2 4" xfId="5979" xr:uid="{00000000-0005-0000-0000-0000780B0000}"/>
    <cellStyle name="Migliaia 37 2 5" xfId="5980" xr:uid="{00000000-0005-0000-0000-0000790B0000}"/>
    <cellStyle name="Migliaia 37 3" xfId="684" xr:uid="{00000000-0005-0000-0000-00007A0B0000}"/>
    <cellStyle name="Migliaia 37 3 2" xfId="685" xr:uid="{00000000-0005-0000-0000-00007B0B0000}"/>
    <cellStyle name="Migliaia 37 3 2 2" xfId="2342" xr:uid="{00000000-0005-0000-0000-00007C0B0000}"/>
    <cellStyle name="Migliaia 37 3 2 3" xfId="3554" xr:uid="{00000000-0005-0000-0000-00007D0B0000}"/>
    <cellStyle name="Migliaia 37 3 2 4" xfId="2341" xr:uid="{00000000-0005-0000-0000-00007E0B0000}"/>
    <cellStyle name="Migliaia 37 3 2 5" xfId="5981" xr:uid="{00000000-0005-0000-0000-00007F0B0000}"/>
    <cellStyle name="Migliaia 37 3 3" xfId="3555" xr:uid="{00000000-0005-0000-0000-0000800B0000}"/>
    <cellStyle name="Migliaia 37 3 3 2" xfId="4317" xr:uid="{00000000-0005-0000-0000-0000810B0000}"/>
    <cellStyle name="Migliaia 37 3 3 3" xfId="5982" xr:uid="{00000000-0005-0000-0000-0000820B0000}"/>
    <cellStyle name="Migliaia 37 3 3 4" xfId="5983" xr:uid="{00000000-0005-0000-0000-0000830B0000}"/>
    <cellStyle name="Migliaia 37 3 3 5" xfId="5984" xr:uid="{00000000-0005-0000-0000-0000840B0000}"/>
    <cellStyle name="Migliaia 37 3 4" xfId="4316" xr:uid="{00000000-0005-0000-0000-0000850B0000}"/>
    <cellStyle name="Migliaia 37 3 5" xfId="3553" xr:uid="{00000000-0005-0000-0000-0000860B0000}"/>
    <cellStyle name="Migliaia 37 3 6" xfId="5985" xr:uid="{00000000-0005-0000-0000-0000870B0000}"/>
    <cellStyle name="Migliaia 37 3 7" xfId="5986" xr:uid="{00000000-0005-0000-0000-0000880B0000}"/>
    <cellStyle name="Migliaia 37 4" xfId="686" xr:uid="{00000000-0005-0000-0000-0000890B0000}"/>
    <cellStyle name="Migliaia 37 4 2" xfId="2343" xr:uid="{00000000-0005-0000-0000-00008A0B0000}"/>
    <cellStyle name="Migliaia 37 4 2 2" xfId="4319" xr:uid="{00000000-0005-0000-0000-00008B0B0000}"/>
    <cellStyle name="Migliaia 37 4 2 3" xfId="3557" xr:uid="{00000000-0005-0000-0000-00008C0B0000}"/>
    <cellStyle name="Migliaia 37 4 3" xfId="4318" xr:uid="{00000000-0005-0000-0000-00008D0B0000}"/>
    <cellStyle name="Migliaia 37 4 4" xfId="3556" xr:uid="{00000000-0005-0000-0000-00008E0B0000}"/>
    <cellStyle name="Migliaia 37 4 5" xfId="5987" xr:uid="{00000000-0005-0000-0000-00008F0B0000}"/>
    <cellStyle name="Migliaia 37 4 6" xfId="5988" xr:uid="{00000000-0005-0000-0000-0000900B0000}"/>
    <cellStyle name="Migliaia 37 5" xfId="687" xr:uid="{00000000-0005-0000-0000-0000910B0000}"/>
    <cellStyle name="Migliaia 37 5 2" xfId="3558" xr:uid="{00000000-0005-0000-0000-0000920B0000}"/>
    <cellStyle name="Migliaia 37 5 3" xfId="5989" xr:uid="{00000000-0005-0000-0000-0000930B0000}"/>
    <cellStyle name="Migliaia 37 5 4" xfId="5990" xr:uid="{00000000-0005-0000-0000-0000940B0000}"/>
    <cellStyle name="Migliaia 37 5 5" xfId="5991" xr:uid="{00000000-0005-0000-0000-0000950B0000}"/>
    <cellStyle name="Migliaia 37 6" xfId="688" xr:uid="{00000000-0005-0000-0000-0000960B0000}"/>
    <cellStyle name="Migliaia 37 6 2" xfId="3199" xr:uid="{00000000-0005-0000-0000-0000970B0000}"/>
    <cellStyle name="Migliaia 37 7" xfId="1910" xr:uid="{00000000-0005-0000-0000-0000980B0000}"/>
    <cellStyle name="Migliaia 37 8" xfId="5992" xr:uid="{00000000-0005-0000-0000-0000990B0000}"/>
    <cellStyle name="Migliaia 37 9" xfId="5993" xr:uid="{00000000-0005-0000-0000-00009A0B0000}"/>
    <cellStyle name="Migliaia 38" xfId="689" xr:uid="{00000000-0005-0000-0000-00009B0B0000}"/>
    <cellStyle name="Migliaia 38 2" xfId="690" xr:uid="{00000000-0005-0000-0000-00009C0B0000}"/>
    <cellStyle name="Migliaia 38 2 2" xfId="2344" xr:uid="{00000000-0005-0000-0000-00009D0B0000}"/>
    <cellStyle name="Migliaia 38 2 2 2" xfId="4320" xr:uid="{00000000-0005-0000-0000-00009E0B0000}"/>
    <cellStyle name="Migliaia 38 2 3" xfId="3266" xr:uid="{00000000-0005-0000-0000-00009F0B0000}"/>
    <cellStyle name="Migliaia 38 2 4" xfId="5994" xr:uid="{00000000-0005-0000-0000-0000A00B0000}"/>
    <cellStyle name="Migliaia 38 2 5" xfId="5995" xr:uid="{00000000-0005-0000-0000-0000A10B0000}"/>
    <cellStyle name="Migliaia 38 3" xfId="691" xr:uid="{00000000-0005-0000-0000-0000A20B0000}"/>
    <cellStyle name="Migliaia 38 3 2" xfId="692" xr:uid="{00000000-0005-0000-0000-0000A30B0000}"/>
    <cellStyle name="Migliaia 38 3 2 2" xfId="2346" xr:uid="{00000000-0005-0000-0000-0000A40B0000}"/>
    <cellStyle name="Migliaia 38 3 2 3" xfId="3560" xr:uid="{00000000-0005-0000-0000-0000A50B0000}"/>
    <cellStyle name="Migliaia 38 3 2 4" xfId="2345" xr:uid="{00000000-0005-0000-0000-0000A60B0000}"/>
    <cellStyle name="Migliaia 38 3 2 5" xfId="5996" xr:uid="{00000000-0005-0000-0000-0000A70B0000}"/>
    <cellStyle name="Migliaia 38 3 3" xfId="3561" xr:uid="{00000000-0005-0000-0000-0000A80B0000}"/>
    <cellStyle name="Migliaia 38 3 3 2" xfId="4322" xr:uid="{00000000-0005-0000-0000-0000A90B0000}"/>
    <cellStyle name="Migliaia 38 3 3 3" xfId="5997" xr:uid="{00000000-0005-0000-0000-0000AA0B0000}"/>
    <cellStyle name="Migliaia 38 3 3 4" xfId="5998" xr:uid="{00000000-0005-0000-0000-0000AB0B0000}"/>
    <cellStyle name="Migliaia 38 3 3 5" xfId="5999" xr:uid="{00000000-0005-0000-0000-0000AC0B0000}"/>
    <cellStyle name="Migliaia 38 3 4" xfId="4321" xr:uid="{00000000-0005-0000-0000-0000AD0B0000}"/>
    <cellStyle name="Migliaia 38 3 5" xfId="3559" xr:uid="{00000000-0005-0000-0000-0000AE0B0000}"/>
    <cellStyle name="Migliaia 38 3 6" xfId="6000" xr:uid="{00000000-0005-0000-0000-0000AF0B0000}"/>
    <cellStyle name="Migliaia 38 3 7" xfId="6001" xr:uid="{00000000-0005-0000-0000-0000B00B0000}"/>
    <cellStyle name="Migliaia 38 4" xfId="693" xr:uid="{00000000-0005-0000-0000-0000B10B0000}"/>
    <cellStyle name="Migliaia 38 4 2" xfId="2347" xr:uid="{00000000-0005-0000-0000-0000B20B0000}"/>
    <cellStyle name="Migliaia 38 4 2 2" xfId="4324" xr:uid="{00000000-0005-0000-0000-0000B30B0000}"/>
    <cellStyle name="Migliaia 38 4 2 3" xfId="3563" xr:uid="{00000000-0005-0000-0000-0000B40B0000}"/>
    <cellStyle name="Migliaia 38 4 3" xfId="4323" xr:uid="{00000000-0005-0000-0000-0000B50B0000}"/>
    <cellStyle name="Migliaia 38 4 4" xfId="3562" xr:uid="{00000000-0005-0000-0000-0000B60B0000}"/>
    <cellStyle name="Migliaia 38 4 5" xfId="6002" xr:uid="{00000000-0005-0000-0000-0000B70B0000}"/>
    <cellStyle name="Migliaia 38 4 6" xfId="6003" xr:uid="{00000000-0005-0000-0000-0000B80B0000}"/>
    <cellStyle name="Migliaia 38 5" xfId="694" xr:uid="{00000000-0005-0000-0000-0000B90B0000}"/>
    <cellStyle name="Migliaia 38 5 2" xfId="3564" xr:uid="{00000000-0005-0000-0000-0000BA0B0000}"/>
    <cellStyle name="Migliaia 38 5 3" xfId="6004" xr:uid="{00000000-0005-0000-0000-0000BB0B0000}"/>
    <cellStyle name="Migliaia 38 5 4" xfId="6005" xr:uid="{00000000-0005-0000-0000-0000BC0B0000}"/>
    <cellStyle name="Migliaia 38 5 5" xfId="6006" xr:uid="{00000000-0005-0000-0000-0000BD0B0000}"/>
    <cellStyle name="Migliaia 38 6" xfId="695" xr:uid="{00000000-0005-0000-0000-0000BE0B0000}"/>
    <cellStyle name="Migliaia 38 6 2" xfId="3200" xr:uid="{00000000-0005-0000-0000-0000BF0B0000}"/>
    <cellStyle name="Migliaia 38 7" xfId="1911" xr:uid="{00000000-0005-0000-0000-0000C00B0000}"/>
    <cellStyle name="Migliaia 38 8" xfId="6007" xr:uid="{00000000-0005-0000-0000-0000C10B0000}"/>
    <cellStyle name="Migliaia 38 9" xfId="6008" xr:uid="{00000000-0005-0000-0000-0000C20B0000}"/>
    <cellStyle name="Migliaia 39" xfId="696" xr:uid="{00000000-0005-0000-0000-0000C30B0000}"/>
    <cellStyle name="Migliaia 39 2" xfId="697" xr:uid="{00000000-0005-0000-0000-0000C40B0000}"/>
    <cellStyle name="Migliaia 39 2 2" xfId="2348" xr:uid="{00000000-0005-0000-0000-0000C50B0000}"/>
    <cellStyle name="Migliaia 39 2 2 2" xfId="4325" xr:uid="{00000000-0005-0000-0000-0000C60B0000}"/>
    <cellStyle name="Migliaia 39 2 3" xfId="3267" xr:uid="{00000000-0005-0000-0000-0000C70B0000}"/>
    <cellStyle name="Migliaia 39 2 4" xfId="6009" xr:uid="{00000000-0005-0000-0000-0000C80B0000}"/>
    <cellStyle name="Migliaia 39 2 5" xfId="6010" xr:uid="{00000000-0005-0000-0000-0000C90B0000}"/>
    <cellStyle name="Migliaia 39 3" xfId="698" xr:uid="{00000000-0005-0000-0000-0000CA0B0000}"/>
    <cellStyle name="Migliaia 39 3 2" xfId="699" xr:uid="{00000000-0005-0000-0000-0000CB0B0000}"/>
    <cellStyle name="Migliaia 39 3 2 2" xfId="2350" xr:uid="{00000000-0005-0000-0000-0000CC0B0000}"/>
    <cellStyle name="Migliaia 39 3 2 3" xfId="3566" xr:uid="{00000000-0005-0000-0000-0000CD0B0000}"/>
    <cellStyle name="Migliaia 39 3 2 4" xfId="2349" xr:uid="{00000000-0005-0000-0000-0000CE0B0000}"/>
    <cellStyle name="Migliaia 39 3 2 5" xfId="6011" xr:uid="{00000000-0005-0000-0000-0000CF0B0000}"/>
    <cellStyle name="Migliaia 39 3 3" xfId="3567" xr:uid="{00000000-0005-0000-0000-0000D00B0000}"/>
    <cellStyle name="Migliaia 39 3 3 2" xfId="4327" xr:uid="{00000000-0005-0000-0000-0000D10B0000}"/>
    <cellStyle name="Migliaia 39 3 3 3" xfId="6012" xr:uid="{00000000-0005-0000-0000-0000D20B0000}"/>
    <cellStyle name="Migliaia 39 3 3 4" xfId="6013" xr:uid="{00000000-0005-0000-0000-0000D30B0000}"/>
    <cellStyle name="Migliaia 39 3 3 5" xfId="6014" xr:uid="{00000000-0005-0000-0000-0000D40B0000}"/>
    <cellStyle name="Migliaia 39 3 4" xfId="4326" xr:uid="{00000000-0005-0000-0000-0000D50B0000}"/>
    <cellStyle name="Migliaia 39 3 5" xfId="3565" xr:uid="{00000000-0005-0000-0000-0000D60B0000}"/>
    <cellStyle name="Migliaia 39 3 6" xfId="6015" xr:uid="{00000000-0005-0000-0000-0000D70B0000}"/>
    <cellStyle name="Migliaia 39 3 7" xfId="6016" xr:uid="{00000000-0005-0000-0000-0000D80B0000}"/>
    <cellStyle name="Migliaia 39 4" xfId="700" xr:uid="{00000000-0005-0000-0000-0000D90B0000}"/>
    <cellStyle name="Migliaia 39 4 2" xfId="2351" xr:uid="{00000000-0005-0000-0000-0000DA0B0000}"/>
    <cellStyle name="Migliaia 39 4 2 2" xfId="4329" xr:uid="{00000000-0005-0000-0000-0000DB0B0000}"/>
    <cellStyle name="Migliaia 39 4 2 3" xfId="3569" xr:uid="{00000000-0005-0000-0000-0000DC0B0000}"/>
    <cellStyle name="Migliaia 39 4 3" xfId="4328" xr:uid="{00000000-0005-0000-0000-0000DD0B0000}"/>
    <cellStyle name="Migliaia 39 4 4" xfId="3568" xr:uid="{00000000-0005-0000-0000-0000DE0B0000}"/>
    <cellStyle name="Migliaia 39 4 5" xfId="6017" xr:uid="{00000000-0005-0000-0000-0000DF0B0000}"/>
    <cellStyle name="Migliaia 39 4 6" xfId="6018" xr:uid="{00000000-0005-0000-0000-0000E00B0000}"/>
    <cellStyle name="Migliaia 39 5" xfId="701" xr:uid="{00000000-0005-0000-0000-0000E10B0000}"/>
    <cellStyle name="Migliaia 39 5 2" xfId="3570" xr:uid="{00000000-0005-0000-0000-0000E20B0000}"/>
    <cellStyle name="Migliaia 39 5 3" xfId="6019" xr:uid="{00000000-0005-0000-0000-0000E30B0000}"/>
    <cellStyle name="Migliaia 39 5 4" xfId="6020" xr:uid="{00000000-0005-0000-0000-0000E40B0000}"/>
    <cellStyle name="Migliaia 39 5 5" xfId="6021" xr:uid="{00000000-0005-0000-0000-0000E50B0000}"/>
    <cellStyle name="Migliaia 39 6" xfId="702" xr:uid="{00000000-0005-0000-0000-0000E60B0000}"/>
    <cellStyle name="Migliaia 39 6 2" xfId="3201" xr:uid="{00000000-0005-0000-0000-0000E70B0000}"/>
    <cellStyle name="Migliaia 39 7" xfId="1912" xr:uid="{00000000-0005-0000-0000-0000E80B0000}"/>
    <cellStyle name="Migliaia 39 8" xfId="6022" xr:uid="{00000000-0005-0000-0000-0000E90B0000}"/>
    <cellStyle name="Migliaia 39 9" xfId="6023" xr:uid="{00000000-0005-0000-0000-0000EA0B0000}"/>
    <cellStyle name="Migliaia 4" xfId="703" xr:uid="{00000000-0005-0000-0000-0000EB0B0000}"/>
    <cellStyle name="Migliaia 4 2" xfId="704" xr:uid="{00000000-0005-0000-0000-0000EC0B0000}"/>
    <cellStyle name="Migliaia 4 2 2" xfId="2352" xr:uid="{00000000-0005-0000-0000-0000ED0B0000}"/>
    <cellStyle name="Migliaia 4 2 2 2" xfId="4330" xr:uid="{00000000-0005-0000-0000-0000EE0B0000}"/>
    <cellStyle name="Migliaia 4 2 3" xfId="3268" xr:uid="{00000000-0005-0000-0000-0000EF0B0000}"/>
    <cellStyle name="Migliaia 4 2 4" xfId="6024" xr:uid="{00000000-0005-0000-0000-0000F00B0000}"/>
    <cellStyle name="Migliaia 4 2 5" xfId="6025" xr:uid="{00000000-0005-0000-0000-0000F10B0000}"/>
    <cellStyle name="Migliaia 4 3" xfId="705" xr:uid="{00000000-0005-0000-0000-0000F20B0000}"/>
    <cellStyle name="Migliaia 4 3 2" xfId="706" xr:uid="{00000000-0005-0000-0000-0000F30B0000}"/>
    <cellStyle name="Migliaia 4 3 2 2" xfId="2354" xr:uid="{00000000-0005-0000-0000-0000F40B0000}"/>
    <cellStyle name="Migliaia 4 3 2 3" xfId="3572" xr:uid="{00000000-0005-0000-0000-0000F50B0000}"/>
    <cellStyle name="Migliaia 4 3 2 4" xfId="2353" xr:uid="{00000000-0005-0000-0000-0000F60B0000}"/>
    <cellStyle name="Migliaia 4 3 2 5" xfId="6026" xr:uid="{00000000-0005-0000-0000-0000F70B0000}"/>
    <cellStyle name="Migliaia 4 3 3" xfId="3573" xr:uid="{00000000-0005-0000-0000-0000F80B0000}"/>
    <cellStyle name="Migliaia 4 3 3 2" xfId="4332" xr:uid="{00000000-0005-0000-0000-0000F90B0000}"/>
    <cellStyle name="Migliaia 4 3 3 3" xfId="6027" xr:uid="{00000000-0005-0000-0000-0000FA0B0000}"/>
    <cellStyle name="Migliaia 4 3 3 4" xfId="6028" xr:uid="{00000000-0005-0000-0000-0000FB0B0000}"/>
    <cellStyle name="Migliaia 4 3 3 5" xfId="6029" xr:uid="{00000000-0005-0000-0000-0000FC0B0000}"/>
    <cellStyle name="Migliaia 4 3 4" xfId="4331" xr:uid="{00000000-0005-0000-0000-0000FD0B0000}"/>
    <cellStyle name="Migliaia 4 3 5" xfId="3571" xr:uid="{00000000-0005-0000-0000-0000FE0B0000}"/>
    <cellStyle name="Migliaia 4 3 6" xfId="6030" xr:uid="{00000000-0005-0000-0000-0000FF0B0000}"/>
    <cellStyle name="Migliaia 4 3 7" xfId="6031" xr:uid="{00000000-0005-0000-0000-0000000C0000}"/>
    <cellStyle name="Migliaia 4 4" xfId="707" xr:uid="{00000000-0005-0000-0000-0000010C0000}"/>
    <cellStyle name="Migliaia 4 4 2" xfId="2355" xr:uid="{00000000-0005-0000-0000-0000020C0000}"/>
    <cellStyle name="Migliaia 4 4 2 2" xfId="4334" xr:uid="{00000000-0005-0000-0000-0000030C0000}"/>
    <cellStyle name="Migliaia 4 4 2 3" xfId="3575" xr:uid="{00000000-0005-0000-0000-0000040C0000}"/>
    <cellStyle name="Migliaia 4 4 3" xfId="4333" xr:uid="{00000000-0005-0000-0000-0000050C0000}"/>
    <cellStyle name="Migliaia 4 4 4" xfId="3574" xr:uid="{00000000-0005-0000-0000-0000060C0000}"/>
    <cellStyle name="Migliaia 4 4 5" xfId="6032" xr:uid="{00000000-0005-0000-0000-0000070C0000}"/>
    <cellStyle name="Migliaia 4 4 6" xfId="6033" xr:uid="{00000000-0005-0000-0000-0000080C0000}"/>
    <cellStyle name="Migliaia 4 5" xfId="708" xr:uid="{00000000-0005-0000-0000-0000090C0000}"/>
    <cellStyle name="Migliaia 4 5 2" xfId="3576" xr:uid="{00000000-0005-0000-0000-00000A0C0000}"/>
    <cellStyle name="Migliaia 4 5 3" xfId="6034" xr:uid="{00000000-0005-0000-0000-00000B0C0000}"/>
    <cellStyle name="Migliaia 4 5 4" xfId="6035" xr:uid="{00000000-0005-0000-0000-00000C0C0000}"/>
    <cellStyle name="Migliaia 4 5 5" xfId="6036" xr:uid="{00000000-0005-0000-0000-00000D0C0000}"/>
    <cellStyle name="Migliaia 4 6" xfId="709" xr:uid="{00000000-0005-0000-0000-00000E0C0000}"/>
    <cellStyle name="Migliaia 4 6 2" xfId="3202" xr:uid="{00000000-0005-0000-0000-00000F0C0000}"/>
    <cellStyle name="Migliaia 4 7" xfId="1913" xr:uid="{00000000-0005-0000-0000-0000100C0000}"/>
    <cellStyle name="Migliaia 4 8" xfId="6037" xr:uid="{00000000-0005-0000-0000-0000110C0000}"/>
    <cellStyle name="Migliaia 4 9" xfId="6038" xr:uid="{00000000-0005-0000-0000-0000120C0000}"/>
    <cellStyle name="Migliaia 40" xfId="710" xr:uid="{00000000-0005-0000-0000-0000130C0000}"/>
    <cellStyle name="Migliaia 40 2" xfId="711" xr:uid="{00000000-0005-0000-0000-0000140C0000}"/>
    <cellStyle name="Migliaia 40 2 2" xfId="2356" xr:uid="{00000000-0005-0000-0000-0000150C0000}"/>
    <cellStyle name="Migliaia 40 2 2 2" xfId="4335" xr:uid="{00000000-0005-0000-0000-0000160C0000}"/>
    <cellStyle name="Migliaia 40 2 3" xfId="3269" xr:uid="{00000000-0005-0000-0000-0000170C0000}"/>
    <cellStyle name="Migliaia 40 2 4" xfId="6039" xr:uid="{00000000-0005-0000-0000-0000180C0000}"/>
    <cellStyle name="Migliaia 40 2 5" xfId="6040" xr:uid="{00000000-0005-0000-0000-0000190C0000}"/>
    <cellStyle name="Migliaia 40 3" xfId="712" xr:uid="{00000000-0005-0000-0000-00001A0C0000}"/>
    <cellStyle name="Migliaia 40 3 2" xfId="713" xr:uid="{00000000-0005-0000-0000-00001B0C0000}"/>
    <cellStyle name="Migliaia 40 3 2 2" xfId="2358" xr:uid="{00000000-0005-0000-0000-00001C0C0000}"/>
    <cellStyle name="Migliaia 40 3 2 3" xfId="3578" xr:uid="{00000000-0005-0000-0000-00001D0C0000}"/>
    <cellStyle name="Migliaia 40 3 2 4" xfId="2357" xr:uid="{00000000-0005-0000-0000-00001E0C0000}"/>
    <cellStyle name="Migliaia 40 3 2 5" xfId="6041" xr:uid="{00000000-0005-0000-0000-00001F0C0000}"/>
    <cellStyle name="Migliaia 40 3 3" xfId="3579" xr:uid="{00000000-0005-0000-0000-0000200C0000}"/>
    <cellStyle name="Migliaia 40 3 3 2" xfId="4337" xr:uid="{00000000-0005-0000-0000-0000210C0000}"/>
    <cellStyle name="Migliaia 40 3 3 3" xfId="6042" xr:uid="{00000000-0005-0000-0000-0000220C0000}"/>
    <cellStyle name="Migliaia 40 3 3 4" xfId="6043" xr:uid="{00000000-0005-0000-0000-0000230C0000}"/>
    <cellStyle name="Migliaia 40 3 3 5" xfId="6044" xr:uid="{00000000-0005-0000-0000-0000240C0000}"/>
    <cellStyle name="Migliaia 40 3 4" xfId="4336" xr:uid="{00000000-0005-0000-0000-0000250C0000}"/>
    <cellStyle name="Migliaia 40 3 5" xfId="3577" xr:uid="{00000000-0005-0000-0000-0000260C0000}"/>
    <cellStyle name="Migliaia 40 3 6" xfId="6045" xr:uid="{00000000-0005-0000-0000-0000270C0000}"/>
    <cellStyle name="Migliaia 40 3 7" xfId="6046" xr:uid="{00000000-0005-0000-0000-0000280C0000}"/>
    <cellStyle name="Migliaia 40 4" xfId="714" xr:uid="{00000000-0005-0000-0000-0000290C0000}"/>
    <cellStyle name="Migliaia 40 4 2" xfId="2359" xr:uid="{00000000-0005-0000-0000-00002A0C0000}"/>
    <cellStyle name="Migliaia 40 4 2 2" xfId="4339" xr:uid="{00000000-0005-0000-0000-00002B0C0000}"/>
    <cellStyle name="Migliaia 40 4 2 3" xfId="3581" xr:uid="{00000000-0005-0000-0000-00002C0C0000}"/>
    <cellStyle name="Migliaia 40 4 3" xfId="4338" xr:uid="{00000000-0005-0000-0000-00002D0C0000}"/>
    <cellStyle name="Migliaia 40 4 4" xfId="3580" xr:uid="{00000000-0005-0000-0000-00002E0C0000}"/>
    <cellStyle name="Migliaia 40 4 5" xfId="6047" xr:uid="{00000000-0005-0000-0000-00002F0C0000}"/>
    <cellStyle name="Migliaia 40 4 6" xfId="6048" xr:uid="{00000000-0005-0000-0000-0000300C0000}"/>
    <cellStyle name="Migliaia 40 5" xfId="715" xr:uid="{00000000-0005-0000-0000-0000310C0000}"/>
    <cellStyle name="Migliaia 40 5 2" xfId="3582" xr:uid="{00000000-0005-0000-0000-0000320C0000}"/>
    <cellStyle name="Migliaia 40 5 3" xfId="6049" xr:uid="{00000000-0005-0000-0000-0000330C0000}"/>
    <cellStyle name="Migliaia 40 5 4" xfId="6050" xr:uid="{00000000-0005-0000-0000-0000340C0000}"/>
    <cellStyle name="Migliaia 40 5 5" xfId="6051" xr:uid="{00000000-0005-0000-0000-0000350C0000}"/>
    <cellStyle name="Migliaia 40 6" xfId="716" xr:uid="{00000000-0005-0000-0000-0000360C0000}"/>
    <cellStyle name="Migliaia 40 6 2" xfId="3203" xr:uid="{00000000-0005-0000-0000-0000370C0000}"/>
    <cellStyle name="Migliaia 40 7" xfId="1914" xr:uid="{00000000-0005-0000-0000-0000380C0000}"/>
    <cellStyle name="Migliaia 40 8" xfId="6052" xr:uid="{00000000-0005-0000-0000-0000390C0000}"/>
    <cellStyle name="Migliaia 40 9" xfId="6053" xr:uid="{00000000-0005-0000-0000-00003A0C0000}"/>
    <cellStyle name="Migliaia 41" xfId="717" xr:uid="{00000000-0005-0000-0000-00003B0C0000}"/>
    <cellStyle name="Migliaia 41 2" xfId="718" xr:uid="{00000000-0005-0000-0000-00003C0C0000}"/>
    <cellStyle name="Migliaia 41 2 2" xfId="2360" xr:uid="{00000000-0005-0000-0000-00003D0C0000}"/>
    <cellStyle name="Migliaia 41 2 2 2" xfId="4340" xr:uid="{00000000-0005-0000-0000-00003E0C0000}"/>
    <cellStyle name="Migliaia 41 2 3" xfId="3270" xr:uid="{00000000-0005-0000-0000-00003F0C0000}"/>
    <cellStyle name="Migliaia 41 2 4" xfId="6054" xr:uid="{00000000-0005-0000-0000-0000400C0000}"/>
    <cellStyle name="Migliaia 41 2 5" xfId="6055" xr:uid="{00000000-0005-0000-0000-0000410C0000}"/>
    <cellStyle name="Migliaia 41 3" xfId="719" xr:uid="{00000000-0005-0000-0000-0000420C0000}"/>
    <cellStyle name="Migliaia 41 3 2" xfId="720" xr:uid="{00000000-0005-0000-0000-0000430C0000}"/>
    <cellStyle name="Migliaia 41 3 2 2" xfId="2362" xr:uid="{00000000-0005-0000-0000-0000440C0000}"/>
    <cellStyle name="Migliaia 41 3 2 3" xfId="3584" xr:uid="{00000000-0005-0000-0000-0000450C0000}"/>
    <cellStyle name="Migliaia 41 3 2 4" xfId="2361" xr:uid="{00000000-0005-0000-0000-0000460C0000}"/>
    <cellStyle name="Migliaia 41 3 2 5" xfId="6056" xr:uid="{00000000-0005-0000-0000-0000470C0000}"/>
    <cellStyle name="Migliaia 41 3 3" xfId="3585" xr:uid="{00000000-0005-0000-0000-0000480C0000}"/>
    <cellStyle name="Migliaia 41 3 3 2" xfId="4342" xr:uid="{00000000-0005-0000-0000-0000490C0000}"/>
    <cellStyle name="Migliaia 41 3 3 3" xfId="6057" xr:uid="{00000000-0005-0000-0000-00004A0C0000}"/>
    <cellStyle name="Migliaia 41 3 3 4" xfId="6058" xr:uid="{00000000-0005-0000-0000-00004B0C0000}"/>
    <cellStyle name="Migliaia 41 3 3 5" xfId="6059" xr:uid="{00000000-0005-0000-0000-00004C0C0000}"/>
    <cellStyle name="Migliaia 41 3 4" xfId="4341" xr:uid="{00000000-0005-0000-0000-00004D0C0000}"/>
    <cellStyle name="Migliaia 41 3 5" xfId="3583" xr:uid="{00000000-0005-0000-0000-00004E0C0000}"/>
    <cellStyle name="Migliaia 41 3 6" xfId="6060" xr:uid="{00000000-0005-0000-0000-00004F0C0000}"/>
    <cellStyle name="Migliaia 41 3 7" xfId="6061" xr:uid="{00000000-0005-0000-0000-0000500C0000}"/>
    <cellStyle name="Migliaia 41 4" xfId="721" xr:uid="{00000000-0005-0000-0000-0000510C0000}"/>
    <cellStyle name="Migliaia 41 4 2" xfId="2363" xr:uid="{00000000-0005-0000-0000-0000520C0000}"/>
    <cellStyle name="Migliaia 41 4 2 2" xfId="4344" xr:uid="{00000000-0005-0000-0000-0000530C0000}"/>
    <cellStyle name="Migliaia 41 4 2 3" xfId="3587" xr:uid="{00000000-0005-0000-0000-0000540C0000}"/>
    <cellStyle name="Migliaia 41 4 3" xfId="4343" xr:uid="{00000000-0005-0000-0000-0000550C0000}"/>
    <cellStyle name="Migliaia 41 4 4" xfId="3586" xr:uid="{00000000-0005-0000-0000-0000560C0000}"/>
    <cellStyle name="Migliaia 41 4 5" xfId="6062" xr:uid="{00000000-0005-0000-0000-0000570C0000}"/>
    <cellStyle name="Migliaia 41 4 6" xfId="6063" xr:uid="{00000000-0005-0000-0000-0000580C0000}"/>
    <cellStyle name="Migliaia 41 5" xfId="722" xr:uid="{00000000-0005-0000-0000-0000590C0000}"/>
    <cellStyle name="Migliaia 41 5 2" xfId="3588" xr:uid="{00000000-0005-0000-0000-00005A0C0000}"/>
    <cellStyle name="Migliaia 41 5 3" xfId="6064" xr:uid="{00000000-0005-0000-0000-00005B0C0000}"/>
    <cellStyle name="Migliaia 41 5 4" xfId="6065" xr:uid="{00000000-0005-0000-0000-00005C0C0000}"/>
    <cellStyle name="Migliaia 41 5 5" xfId="6066" xr:uid="{00000000-0005-0000-0000-00005D0C0000}"/>
    <cellStyle name="Migliaia 41 6" xfId="723" xr:uid="{00000000-0005-0000-0000-00005E0C0000}"/>
    <cellStyle name="Migliaia 41 6 2" xfId="3204" xr:uid="{00000000-0005-0000-0000-00005F0C0000}"/>
    <cellStyle name="Migliaia 41 7" xfId="1915" xr:uid="{00000000-0005-0000-0000-0000600C0000}"/>
    <cellStyle name="Migliaia 41 8" xfId="6067" xr:uid="{00000000-0005-0000-0000-0000610C0000}"/>
    <cellStyle name="Migliaia 41 9" xfId="6068" xr:uid="{00000000-0005-0000-0000-0000620C0000}"/>
    <cellStyle name="Migliaia 42" xfId="724" xr:uid="{00000000-0005-0000-0000-0000630C0000}"/>
    <cellStyle name="Migliaia 42 2" xfId="725" xr:uid="{00000000-0005-0000-0000-0000640C0000}"/>
    <cellStyle name="Migliaia 42 2 2" xfId="2364" xr:uid="{00000000-0005-0000-0000-0000650C0000}"/>
    <cellStyle name="Migliaia 42 2 2 2" xfId="4345" xr:uid="{00000000-0005-0000-0000-0000660C0000}"/>
    <cellStyle name="Migliaia 42 2 3" xfId="3271" xr:uid="{00000000-0005-0000-0000-0000670C0000}"/>
    <cellStyle name="Migliaia 42 2 4" xfId="6069" xr:uid="{00000000-0005-0000-0000-0000680C0000}"/>
    <cellStyle name="Migliaia 42 2 5" xfId="6070" xr:uid="{00000000-0005-0000-0000-0000690C0000}"/>
    <cellStyle name="Migliaia 42 3" xfId="726" xr:uid="{00000000-0005-0000-0000-00006A0C0000}"/>
    <cellStyle name="Migliaia 42 3 2" xfId="727" xr:uid="{00000000-0005-0000-0000-00006B0C0000}"/>
    <cellStyle name="Migliaia 42 3 2 2" xfId="2366" xr:uid="{00000000-0005-0000-0000-00006C0C0000}"/>
    <cellStyle name="Migliaia 42 3 2 3" xfId="3590" xr:uid="{00000000-0005-0000-0000-00006D0C0000}"/>
    <cellStyle name="Migliaia 42 3 2 4" xfId="2365" xr:uid="{00000000-0005-0000-0000-00006E0C0000}"/>
    <cellStyle name="Migliaia 42 3 2 5" xfId="6071" xr:uid="{00000000-0005-0000-0000-00006F0C0000}"/>
    <cellStyle name="Migliaia 42 3 3" xfId="3591" xr:uid="{00000000-0005-0000-0000-0000700C0000}"/>
    <cellStyle name="Migliaia 42 3 3 2" xfId="4347" xr:uid="{00000000-0005-0000-0000-0000710C0000}"/>
    <cellStyle name="Migliaia 42 3 3 3" xfId="6072" xr:uid="{00000000-0005-0000-0000-0000720C0000}"/>
    <cellStyle name="Migliaia 42 3 3 4" xfId="6073" xr:uid="{00000000-0005-0000-0000-0000730C0000}"/>
    <cellStyle name="Migliaia 42 3 3 5" xfId="6074" xr:uid="{00000000-0005-0000-0000-0000740C0000}"/>
    <cellStyle name="Migliaia 42 3 4" xfId="4346" xr:uid="{00000000-0005-0000-0000-0000750C0000}"/>
    <cellStyle name="Migliaia 42 3 5" xfId="3589" xr:uid="{00000000-0005-0000-0000-0000760C0000}"/>
    <cellStyle name="Migliaia 42 3 6" xfId="6075" xr:uid="{00000000-0005-0000-0000-0000770C0000}"/>
    <cellStyle name="Migliaia 42 3 7" xfId="6076" xr:uid="{00000000-0005-0000-0000-0000780C0000}"/>
    <cellStyle name="Migliaia 42 4" xfId="728" xr:uid="{00000000-0005-0000-0000-0000790C0000}"/>
    <cellStyle name="Migliaia 42 4 2" xfId="2367" xr:uid="{00000000-0005-0000-0000-00007A0C0000}"/>
    <cellStyle name="Migliaia 42 4 2 2" xfId="4349" xr:uid="{00000000-0005-0000-0000-00007B0C0000}"/>
    <cellStyle name="Migliaia 42 4 2 3" xfId="3593" xr:uid="{00000000-0005-0000-0000-00007C0C0000}"/>
    <cellStyle name="Migliaia 42 4 3" xfId="4348" xr:uid="{00000000-0005-0000-0000-00007D0C0000}"/>
    <cellStyle name="Migliaia 42 4 4" xfId="3592" xr:uid="{00000000-0005-0000-0000-00007E0C0000}"/>
    <cellStyle name="Migliaia 42 4 5" xfId="6077" xr:uid="{00000000-0005-0000-0000-00007F0C0000}"/>
    <cellStyle name="Migliaia 42 4 6" xfId="6078" xr:uid="{00000000-0005-0000-0000-0000800C0000}"/>
    <cellStyle name="Migliaia 42 5" xfId="729" xr:uid="{00000000-0005-0000-0000-0000810C0000}"/>
    <cellStyle name="Migliaia 42 5 2" xfId="3594" xr:uid="{00000000-0005-0000-0000-0000820C0000}"/>
    <cellStyle name="Migliaia 42 5 3" xfId="6079" xr:uid="{00000000-0005-0000-0000-0000830C0000}"/>
    <cellStyle name="Migliaia 42 5 4" xfId="6080" xr:uid="{00000000-0005-0000-0000-0000840C0000}"/>
    <cellStyle name="Migliaia 42 5 5" xfId="6081" xr:uid="{00000000-0005-0000-0000-0000850C0000}"/>
    <cellStyle name="Migliaia 42 6" xfId="730" xr:uid="{00000000-0005-0000-0000-0000860C0000}"/>
    <cellStyle name="Migliaia 42 6 2" xfId="3205" xr:uid="{00000000-0005-0000-0000-0000870C0000}"/>
    <cellStyle name="Migliaia 42 7" xfId="1916" xr:uid="{00000000-0005-0000-0000-0000880C0000}"/>
    <cellStyle name="Migliaia 42 8" xfId="6082" xr:uid="{00000000-0005-0000-0000-0000890C0000}"/>
    <cellStyle name="Migliaia 42 9" xfId="6083" xr:uid="{00000000-0005-0000-0000-00008A0C0000}"/>
    <cellStyle name="Migliaia 43" xfId="731" xr:uid="{00000000-0005-0000-0000-00008B0C0000}"/>
    <cellStyle name="Migliaia 43 2" xfId="732" xr:uid="{00000000-0005-0000-0000-00008C0C0000}"/>
    <cellStyle name="Migliaia 43 2 2" xfId="2368" xr:uid="{00000000-0005-0000-0000-00008D0C0000}"/>
    <cellStyle name="Migliaia 43 2 2 2" xfId="4350" xr:uid="{00000000-0005-0000-0000-00008E0C0000}"/>
    <cellStyle name="Migliaia 43 2 3" xfId="3272" xr:uid="{00000000-0005-0000-0000-00008F0C0000}"/>
    <cellStyle name="Migliaia 43 2 4" xfId="6084" xr:uid="{00000000-0005-0000-0000-0000900C0000}"/>
    <cellStyle name="Migliaia 43 2 5" xfId="6085" xr:uid="{00000000-0005-0000-0000-0000910C0000}"/>
    <cellStyle name="Migliaia 43 3" xfId="733" xr:uid="{00000000-0005-0000-0000-0000920C0000}"/>
    <cellStyle name="Migliaia 43 3 2" xfId="734" xr:uid="{00000000-0005-0000-0000-0000930C0000}"/>
    <cellStyle name="Migliaia 43 3 2 2" xfId="2370" xr:uid="{00000000-0005-0000-0000-0000940C0000}"/>
    <cellStyle name="Migliaia 43 3 2 3" xfId="3596" xr:uid="{00000000-0005-0000-0000-0000950C0000}"/>
    <cellStyle name="Migliaia 43 3 2 4" xfId="2369" xr:uid="{00000000-0005-0000-0000-0000960C0000}"/>
    <cellStyle name="Migliaia 43 3 2 5" xfId="6086" xr:uid="{00000000-0005-0000-0000-0000970C0000}"/>
    <cellStyle name="Migliaia 43 3 3" xfId="3597" xr:uid="{00000000-0005-0000-0000-0000980C0000}"/>
    <cellStyle name="Migliaia 43 3 3 2" xfId="4352" xr:uid="{00000000-0005-0000-0000-0000990C0000}"/>
    <cellStyle name="Migliaia 43 3 3 3" xfId="6087" xr:uid="{00000000-0005-0000-0000-00009A0C0000}"/>
    <cellStyle name="Migliaia 43 3 3 4" xfId="6088" xr:uid="{00000000-0005-0000-0000-00009B0C0000}"/>
    <cellStyle name="Migliaia 43 3 3 5" xfId="6089" xr:uid="{00000000-0005-0000-0000-00009C0C0000}"/>
    <cellStyle name="Migliaia 43 3 4" xfId="4351" xr:uid="{00000000-0005-0000-0000-00009D0C0000}"/>
    <cellStyle name="Migliaia 43 3 5" xfId="3595" xr:uid="{00000000-0005-0000-0000-00009E0C0000}"/>
    <cellStyle name="Migliaia 43 3 6" xfId="6090" xr:uid="{00000000-0005-0000-0000-00009F0C0000}"/>
    <cellStyle name="Migliaia 43 3 7" xfId="6091" xr:uid="{00000000-0005-0000-0000-0000A00C0000}"/>
    <cellStyle name="Migliaia 43 4" xfId="735" xr:uid="{00000000-0005-0000-0000-0000A10C0000}"/>
    <cellStyle name="Migliaia 43 4 2" xfId="2371" xr:uid="{00000000-0005-0000-0000-0000A20C0000}"/>
    <cellStyle name="Migliaia 43 4 2 2" xfId="4354" xr:uid="{00000000-0005-0000-0000-0000A30C0000}"/>
    <cellStyle name="Migliaia 43 4 2 3" xfId="3599" xr:uid="{00000000-0005-0000-0000-0000A40C0000}"/>
    <cellStyle name="Migliaia 43 4 3" xfId="4353" xr:uid="{00000000-0005-0000-0000-0000A50C0000}"/>
    <cellStyle name="Migliaia 43 4 4" xfId="3598" xr:uid="{00000000-0005-0000-0000-0000A60C0000}"/>
    <cellStyle name="Migliaia 43 4 5" xfId="6092" xr:uid="{00000000-0005-0000-0000-0000A70C0000}"/>
    <cellStyle name="Migliaia 43 4 6" xfId="6093" xr:uid="{00000000-0005-0000-0000-0000A80C0000}"/>
    <cellStyle name="Migliaia 43 5" xfId="736" xr:uid="{00000000-0005-0000-0000-0000A90C0000}"/>
    <cellStyle name="Migliaia 43 5 2" xfId="3600" xr:uid="{00000000-0005-0000-0000-0000AA0C0000}"/>
    <cellStyle name="Migliaia 43 5 3" xfId="6094" xr:uid="{00000000-0005-0000-0000-0000AB0C0000}"/>
    <cellStyle name="Migliaia 43 5 4" xfId="6095" xr:uid="{00000000-0005-0000-0000-0000AC0C0000}"/>
    <cellStyle name="Migliaia 43 5 5" xfId="6096" xr:uid="{00000000-0005-0000-0000-0000AD0C0000}"/>
    <cellStyle name="Migliaia 43 6" xfId="737" xr:uid="{00000000-0005-0000-0000-0000AE0C0000}"/>
    <cellStyle name="Migliaia 43 6 2" xfId="3206" xr:uid="{00000000-0005-0000-0000-0000AF0C0000}"/>
    <cellStyle name="Migliaia 43 7" xfId="1917" xr:uid="{00000000-0005-0000-0000-0000B00C0000}"/>
    <cellStyle name="Migliaia 43 8" xfId="6097" xr:uid="{00000000-0005-0000-0000-0000B10C0000}"/>
    <cellStyle name="Migliaia 43 9" xfId="6098" xr:uid="{00000000-0005-0000-0000-0000B20C0000}"/>
    <cellStyle name="Migliaia 44" xfId="738" xr:uid="{00000000-0005-0000-0000-0000B30C0000}"/>
    <cellStyle name="Migliaia 44 2" xfId="739" xr:uid="{00000000-0005-0000-0000-0000B40C0000}"/>
    <cellStyle name="Migliaia 44 2 2" xfId="2372" xr:uid="{00000000-0005-0000-0000-0000B50C0000}"/>
    <cellStyle name="Migliaia 44 2 2 2" xfId="4355" xr:uid="{00000000-0005-0000-0000-0000B60C0000}"/>
    <cellStyle name="Migliaia 44 2 3" xfId="3273" xr:uid="{00000000-0005-0000-0000-0000B70C0000}"/>
    <cellStyle name="Migliaia 44 2 4" xfId="6099" xr:uid="{00000000-0005-0000-0000-0000B80C0000}"/>
    <cellStyle name="Migliaia 44 2 5" xfId="6100" xr:uid="{00000000-0005-0000-0000-0000B90C0000}"/>
    <cellStyle name="Migliaia 44 3" xfId="740" xr:uid="{00000000-0005-0000-0000-0000BA0C0000}"/>
    <cellStyle name="Migliaia 44 3 2" xfId="741" xr:uid="{00000000-0005-0000-0000-0000BB0C0000}"/>
    <cellStyle name="Migliaia 44 3 2 2" xfId="2374" xr:uid="{00000000-0005-0000-0000-0000BC0C0000}"/>
    <cellStyle name="Migliaia 44 3 2 3" xfId="3602" xr:uid="{00000000-0005-0000-0000-0000BD0C0000}"/>
    <cellStyle name="Migliaia 44 3 2 4" xfId="2373" xr:uid="{00000000-0005-0000-0000-0000BE0C0000}"/>
    <cellStyle name="Migliaia 44 3 2 5" xfId="6101" xr:uid="{00000000-0005-0000-0000-0000BF0C0000}"/>
    <cellStyle name="Migliaia 44 3 3" xfId="3603" xr:uid="{00000000-0005-0000-0000-0000C00C0000}"/>
    <cellStyle name="Migliaia 44 3 3 2" xfId="4357" xr:uid="{00000000-0005-0000-0000-0000C10C0000}"/>
    <cellStyle name="Migliaia 44 3 3 3" xfId="6102" xr:uid="{00000000-0005-0000-0000-0000C20C0000}"/>
    <cellStyle name="Migliaia 44 3 3 4" xfId="6103" xr:uid="{00000000-0005-0000-0000-0000C30C0000}"/>
    <cellStyle name="Migliaia 44 3 3 5" xfId="6104" xr:uid="{00000000-0005-0000-0000-0000C40C0000}"/>
    <cellStyle name="Migliaia 44 3 4" xfId="4356" xr:uid="{00000000-0005-0000-0000-0000C50C0000}"/>
    <cellStyle name="Migliaia 44 3 5" xfId="3601" xr:uid="{00000000-0005-0000-0000-0000C60C0000}"/>
    <cellStyle name="Migliaia 44 3 6" xfId="6105" xr:uid="{00000000-0005-0000-0000-0000C70C0000}"/>
    <cellStyle name="Migliaia 44 3 7" xfId="6106" xr:uid="{00000000-0005-0000-0000-0000C80C0000}"/>
    <cellStyle name="Migliaia 44 4" xfId="742" xr:uid="{00000000-0005-0000-0000-0000C90C0000}"/>
    <cellStyle name="Migliaia 44 4 2" xfId="2375" xr:uid="{00000000-0005-0000-0000-0000CA0C0000}"/>
    <cellStyle name="Migliaia 44 4 2 2" xfId="4359" xr:uid="{00000000-0005-0000-0000-0000CB0C0000}"/>
    <cellStyle name="Migliaia 44 4 2 3" xfId="3605" xr:uid="{00000000-0005-0000-0000-0000CC0C0000}"/>
    <cellStyle name="Migliaia 44 4 3" xfId="4358" xr:uid="{00000000-0005-0000-0000-0000CD0C0000}"/>
    <cellStyle name="Migliaia 44 4 4" xfId="3604" xr:uid="{00000000-0005-0000-0000-0000CE0C0000}"/>
    <cellStyle name="Migliaia 44 4 5" xfId="6107" xr:uid="{00000000-0005-0000-0000-0000CF0C0000}"/>
    <cellStyle name="Migliaia 44 4 6" xfId="6108" xr:uid="{00000000-0005-0000-0000-0000D00C0000}"/>
    <cellStyle name="Migliaia 44 5" xfId="743" xr:uid="{00000000-0005-0000-0000-0000D10C0000}"/>
    <cellStyle name="Migliaia 44 5 2" xfId="3606" xr:uid="{00000000-0005-0000-0000-0000D20C0000}"/>
    <cellStyle name="Migliaia 44 5 3" xfId="6109" xr:uid="{00000000-0005-0000-0000-0000D30C0000}"/>
    <cellStyle name="Migliaia 44 5 4" xfId="6110" xr:uid="{00000000-0005-0000-0000-0000D40C0000}"/>
    <cellStyle name="Migliaia 44 5 5" xfId="6111" xr:uid="{00000000-0005-0000-0000-0000D50C0000}"/>
    <cellStyle name="Migliaia 44 6" xfId="744" xr:uid="{00000000-0005-0000-0000-0000D60C0000}"/>
    <cellStyle name="Migliaia 44 6 2" xfId="3207" xr:uid="{00000000-0005-0000-0000-0000D70C0000}"/>
    <cellStyle name="Migliaia 44 7" xfId="1918" xr:uid="{00000000-0005-0000-0000-0000D80C0000}"/>
    <cellStyle name="Migliaia 44 8" xfId="6112" xr:uid="{00000000-0005-0000-0000-0000D90C0000}"/>
    <cellStyle name="Migliaia 44 9" xfId="6113" xr:uid="{00000000-0005-0000-0000-0000DA0C0000}"/>
    <cellStyle name="Migliaia 45" xfId="745" xr:uid="{00000000-0005-0000-0000-0000DB0C0000}"/>
    <cellStyle name="Migliaia 45 2" xfId="746" xr:uid="{00000000-0005-0000-0000-0000DC0C0000}"/>
    <cellStyle name="Migliaia 45 2 2" xfId="2376" xr:uid="{00000000-0005-0000-0000-0000DD0C0000}"/>
    <cellStyle name="Migliaia 45 2 2 2" xfId="4360" xr:uid="{00000000-0005-0000-0000-0000DE0C0000}"/>
    <cellStyle name="Migliaia 45 2 3" xfId="3274" xr:uid="{00000000-0005-0000-0000-0000DF0C0000}"/>
    <cellStyle name="Migliaia 45 2 4" xfId="6114" xr:uid="{00000000-0005-0000-0000-0000E00C0000}"/>
    <cellStyle name="Migliaia 45 2 5" xfId="6115" xr:uid="{00000000-0005-0000-0000-0000E10C0000}"/>
    <cellStyle name="Migliaia 45 3" xfId="747" xr:uid="{00000000-0005-0000-0000-0000E20C0000}"/>
    <cellStyle name="Migliaia 45 3 2" xfId="748" xr:uid="{00000000-0005-0000-0000-0000E30C0000}"/>
    <cellStyle name="Migliaia 45 3 2 2" xfId="2378" xr:uid="{00000000-0005-0000-0000-0000E40C0000}"/>
    <cellStyle name="Migliaia 45 3 2 3" xfId="3608" xr:uid="{00000000-0005-0000-0000-0000E50C0000}"/>
    <cellStyle name="Migliaia 45 3 2 4" xfId="2377" xr:uid="{00000000-0005-0000-0000-0000E60C0000}"/>
    <cellStyle name="Migliaia 45 3 2 5" xfId="6116" xr:uid="{00000000-0005-0000-0000-0000E70C0000}"/>
    <cellStyle name="Migliaia 45 3 3" xfId="3609" xr:uid="{00000000-0005-0000-0000-0000E80C0000}"/>
    <cellStyle name="Migliaia 45 3 3 2" xfId="4362" xr:uid="{00000000-0005-0000-0000-0000E90C0000}"/>
    <cellStyle name="Migliaia 45 3 3 3" xfId="6117" xr:uid="{00000000-0005-0000-0000-0000EA0C0000}"/>
    <cellStyle name="Migliaia 45 3 3 4" xfId="6118" xr:uid="{00000000-0005-0000-0000-0000EB0C0000}"/>
    <cellStyle name="Migliaia 45 3 3 5" xfId="6119" xr:uid="{00000000-0005-0000-0000-0000EC0C0000}"/>
    <cellStyle name="Migliaia 45 3 4" xfId="4361" xr:uid="{00000000-0005-0000-0000-0000ED0C0000}"/>
    <cellStyle name="Migliaia 45 3 5" xfId="3607" xr:uid="{00000000-0005-0000-0000-0000EE0C0000}"/>
    <cellStyle name="Migliaia 45 3 6" xfId="6120" xr:uid="{00000000-0005-0000-0000-0000EF0C0000}"/>
    <cellStyle name="Migliaia 45 3 7" xfId="6121" xr:uid="{00000000-0005-0000-0000-0000F00C0000}"/>
    <cellStyle name="Migliaia 45 4" xfId="749" xr:uid="{00000000-0005-0000-0000-0000F10C0000}"/>
    <cellStyle name="Migliaia 45 4 2" xfId="2379" xr:uid="{00000000-0005-0000-0000-0000F20C0000}"/>
    <cellStyle name="Migliaia 45 4 2 2" xfId="4364" xr:uid="{00000000-0005-0000-0000-0000F30C0000}"/>
    <cellStyle name="Migliaia 45 4 2 3" xfId="3611" xr:uid="{00000000-0005-0000-0000-0000F40C0000}"/>
    <cellStyle name="Migliaia 45 4 3" xfId="4363" xr:uid="{00000000-0005-0000-0000-0000F50C0000}"/>
    <cellStyle name="Migliaia 45 4 4" xfId="3610" xr:uid="{00000000-0005-0000-0000-0000F60C0000}"/>
    <cellStyle name="Migliaia 45 4 5" xfId="6122" xr:uid="{00000000-0005-0000-0000-0000F70C0000}"/>
    <cellStyle name="Migliaia 45 4 6" xfId="6123" xr:uid="{00000000-0005-0000-0000-0000F80C0000}"/>
    <cellStyle name="Migliaia 45 5" xfId="750" xr:uid="{00000000-0005-0000-0000-0000F90C0000}"/>
    <cellStyle name="Migliaia 45 5 2" xfId="3612" xr:uid="{00000000-0005-0000-0000-0000FA0C0000}"/>
    <cellStyle name="Migliaia 45 5 3" xfId="6124" xr:uid="{00000000-0005-0000-0000-0000FB0C0000}"/>
    <cellStyle name="Migliaia 45 5 4" xfId="6125" xr:uid="{00000000-0005-0000-0000-0000FC0C0000}"/>
    <cellStyle name="Migliaia 45 5 5" xfId="6126" xr:uid="{00000000-0005-0000-0000-0000FD0C0000}"/>
    <cellStyle name="Migliaia 45 6" xfId="751" xr:uid="{00000000-0005-0000-0000-0000FE0C0000}"/>
    <cellStyle name="Migliaia 45 6 2" xfId="3208" xr:uid="{00000000-0005-0000-0000-0000FF0C0000}"/>
    <cellStyle name="Migliaia 45 7" xfId="1919" xr:uid="{00000000-0005-0000-0000-0000000D0000}"/>
    <cellStyle name="Migliaia 45 8" xfId="6127" xr:uid="{00000000-0005-0000-0000-0000010D0000}"/>
    <cellStyle name="Migliaia 45 9" xfId="6128" xr:uid="{00000000-0005-0000-0000-0000020D0000}"/>
    <cellStyle name="Migliaia 46" xfId="752" xr:uid="{00000000-0005-0000-0000-0000030D0000}"/>
    <cellStyle name="Migliaia 46 2" xfId="753" xr:uid="{00000000-0005-0000-0000-0000040D0000}"/>
    <cellStyle name="Migliaia 46 2 2" xfId="2380" xr:uid="{00000000-0005-0000-0000-0000050D0000}"/>
    <cellStyle name="Migliaia 46 2 2 2" xfId="4365" xr:uid="{00000000-0005-0000-0000-0000060D0000}"/>
    <cellStyle name="Migliaia 46 2 3" xfId="3275" xr:uid="{00000000-0005-0000-0000-0000070D0000}"/>
    <cellStyle name="Migliaia 46 2 4" xfId="6129" xr:uid="{00000000-0005-0000-0000-0000080D0000}"/>
    <cellStyle name="Migliaia 46 2 5" xfId="6130" xr:uid="{00000000-0005-0000-0000-0000090D0000}"/>
    <cellStyle name="Migliaia 46 3" xfId="754" xr:uid="{00000000-0005-0000-0000-00000A0D0000}"/>
    <cellStyle name="Migliaia 46 3 2" xfId="755" xr:uid="{00000000-0005-0000-0000-00000B0D0000}"/>
    <cellStyle name="Migliaia 46 3 2 2" xfId="2382" xr:uid="{00000000-0005-0000-0000-00000C0D0000}"/>
    <cellStyle name="Migliaia 46 3 2 3" xfId="3614" xr:uid="{00000000-0005-0000-0000-00000D0D0000}"/>
    <cellStyle name="Migliaia 46 3 2 4" xfId="2381" xr:uid="{00000000-0005-0000-0000-00000E0D0000}"/>
    <cellStyle name="Migliaia 46 3 2 5" xfId="6131" xr:uid="{00000000-0005-0000-0000-00000F0D0000}"/>
    <cellStyle name="Migliaia 46 3 3" xfId="3615" xr:uid="{00000000-0005-0000-0000-0000100D0000}"/>
    <cellStyle name="Migliaia 46 3 3 2" xfId="4367" xr:uid="{00000000-0005-0000-0000-0000110D0000}"/>
    <cellStyle name="Migliaia 46 3 3 3" xfId="6132" xr:uid="{00000000-0005-0000-0000-0000120D0000}"/>
    <cellStyle name="Migliaia 46 3 3 4" xfId="6133" xr:uid="{00000000-0005-0000-0000-0000130D0000}"/>
    <cellStyle name="Migliaia 46 3 3 5" xfId="6134" xr:uid="{00000000-0005-0000-0000-0000140D0000}"/>
    <cellStyle name="Migliaia 46 3 4" xfId="4366" xr:uid="{00000000-0005-0000-0000-0000150D0000}"/>
    <cellStyle name="Migliaia 46 3 5" xfId="3613" xr:uid="{00000000-0005-0000-0000-0000160D0000}"/>
    <cellStyle name="Migliaia 46 3 6" xfId="6135" xr:uid="{00000000-0005-0000-0000-0000170D0000}"/>
    <cellStyle name="Migliaia 46 3 7" xfId="6136" xr:uid="{00000000-0005-0000-0000-0000180D0000}"/>
    <cellStyle name="Migliaia 46 4" xfId="756" xr:uid="{00000000-0005-0000-0000-0000190D0000}"/>
    <cellStyle name="Migliaia 46 4 2" xfId="2383" xr:uid="{00000000-0005-0000-0000-00001A0D0000}"/>
    <cellStyle name="Migliaia 46 4 2 2" xfId="4369" xr:uid="{00000000-0005-0000-0000-00001B0D0000}"/>
    <cellStyle name="Migliaia 46 4 2 3" xfId="3617" xr:uid="{00000000-0005-0000-0000-00001C0D0000}"/>
    <cellStyle name="Migliaia 46 4 3" xfId="4368" xr:uid="{00000000-0005-0000-0000-00001D0D0000}"/>
    <cellStyle name="Migliaia 46 4 4" xfId="3616" xr:uid="{00000000-0005-0000-0000-00001E0D0000}"/>
    <cellStyle name="Migliaia 46 4 5" xfId="6137" xr:uid="{00000000-0005-0000-0000-00001F0D0000}"/>
    <cellStyle name="Migliaia 46 4 6" xfId="6138" xr:uid="{00000000-0005-0000-0000-0000200D0000}"/>
    <cellStyle name="Migliaia 46 5" xfId="757" xr:uid="{00000000-0005-0000-0000-0000210D0000}"/>
    <cellStyle name="Migliaia 46 5 2" xfId="3618" xr:uid="{00000000-0005-0000-0000-0000220D0000}"/>
    <cellStyle name="Migliaia 46 5 3" xfId="6139" xr:uid="{00000000-0005-0000-0000-0000230D0000}"/>
    <cellStyle name="Migliaia 46 5 4" xfId="6140" xr:uid="{00000000-0005-0000-0000-0000240D0000}"/>
    <cellStyle name="Migliaia 46 5 5" xfId="6141" xr:uid="{00000000-0005-0000-0000-0000250D0000}"/>
    <cellStyle name="Migliaia 46 6" xfId="758" xr:uid="{00000000-0005-0000-0000-0000260D0000}"/>
    <cellStyle name="Migliaia 46 6 2" xfId="3209" xr:uid="{00000000-0005-0000-0000-0000270D0000}"/>
    <cellStyle name="Migliaia 46 7" xfId="1920" xr:uid="{00000000-0005-0000-0000-0000280D0000}"/>
    <cellStyle name="Migliaia 46 8" xfId="6142" xr:uid="{00000000-0005-0000-0000-0000290D0000}"/>
    <cellStyle name="Migliaia 46 9" xfId="6143" xr:uid="{00000000-0005-0000-0000-00002A0D0000}"/>
    <cellStyle name="Migliaia 47" xfId="759" xr:uid="{00000000-0005-0000-0000-00002B0D0000}"/>
    <cellStyle name="Migliaia 47 2" xfId="760" xr:uid="{00000000-0005-0000-0000-00002C0D0000}"/>
    <cellStyle name="Migliaia 47 2 2" xfId="2384" xr:uid="{00000000-0005-0000-0000-00002D0D0000}"/>
    <cellStyle name="Migliaia 47 2 2 2" xfId="4370" xr:uid="{00000000-0005-0000-0000-00002E0D0000}"/>
    <cellStyle name="Migliaia 47 2 3" xfId="3276" xr:uid="{00000000-0005-0000-0000-00002F0D0000}"/>
    <cellStyle name="Migliaia 47 2 4" xfId="6144" xr:uid="{00000000-0005-0000-0000-0000300D0000}"/>
    <cellStyle name="Migliaia 47 2 5" xfId="6145" xr:uid="{00000000-0005-0000-0000-0000310D0000}"/>
    <cellStyle name="Migliaia 47 3" xfId="761" xr:uid="{00000000-0005-0000-0000-0000320D0000}"/>
    <cellStyle name="Migliaia 47 3 2" xfId="762" xr:uid="{00000000-0005-0000-0000-0000330D0000}"/>
    <cellStyle name="Migliaia 47 3 2 2" xfId="2386" xr:uid="{00000000-0005-0000-0000-0000340D0000}"/>
    <cellStyle name="Migliaia 47 3 2 3" xfId="3620" xr:uid="{00000000-0005-0000-0000-0000350D0000}"/>
    <cellStyle name="Migliaia 47 3 2 4" xfId="2385" xr:uid="{00000000-0005-0000-0000-0000360D0000}"/>
    <cellStyle name="Migliaia 47 3 2 5" xfId="6146" xr:uid="{00000000-0005-0000-0000-0000370D0000}"/>
    <cellStyle name="Migliaia 47 3 3" xfId="3621" xr:uid="{00000000-0005-0000-0000-0000380D0000}"/>
    <cellStyle name="Migliaia 47 3 3 2" xfId="4372" xr:uid="{00000000-0005-0000-0000-0000390D0000}"/>
    <cellStyle name="Migliaia 47 3 3 3" xfId="6147" xr:uid="{00000000-0005-0000-0000-00003A0D0000}"/>
    <cellStyle name="Migliaia 47 3 3 4" xfId="6148" xr:uid="{00000000-0005-0000-0000-00003B0D0000}"/>
    <cellStyle name="Migliaia 47 3 3 5" xfId="6149" xr:uid="{00000000-0005-0000-0000-00003C0D0000}"/>
    <cellStyle name="Migliaia 47 3 4" xfId="4371" xr:uid="{00000000-0005-0000-0000-00003D0D0000}"/>
    <cellStyle name="Migliaia 47 3 5" xfId="3619" xr:uid="{00000000-0005-0000-0000-00003E0D0000}"/>
    <cellStyle name="Migliaia 47 3 6" xfId="6150" xr:uid="{00000000-0005-0000-0000-00003F0D0000}"/>
    <cellStyle name="Migliaia 47 3 7" xfId="6151" xr:uid="{00000000-0005-0000-0000-0000400D0000}"/>
    <cellStyle name="Migliaia 47 4" xfId="763" xr:uid="{00000000-0005-0000-0000-0000410D0000}"/>
    <cellStyle name="Migliaia 47 4 2" xfId="2387" xr:uid="{00000000-0005-0000-0000-0000420D0000}"/>
    <cellStyle name="Migliaia 47 4 2 2" xfId="4374" xr:uid="{00000000-0005-0000-0000-0000430D0000}"/>
    <cellStyle name="Migliaia 47 4 2 3" xfId="3623" xr:uid="{00000000-0005-0000-0000-0000440D0000}"/>
    <cellStyle name="Migliaia 47 4 3" xfId="4373" xr:uid="{00000000-0005-0000-0000-0000450D0000}"/>
    <cellStyle name="Migliaia 47 4 4" xfId="3622" xr:uid="{00000000-0005-0000-0000-0000460D0000}"/>
    <cellStyle name="Migliaia 47 4 5" xfId="6152" xr:uid="{00000000-0005-0000-0000-0000470D0000}"/>
    <cellStyle name="Migliaia 47 4 6" xfId="6153" xr:uid="{00000000-0005-0000-0000-0000480D0000}"/>
    <cellStyle name="Migliaia 47 5" xfId="764" xr:uid="{00000000-0005-0000-0000-0000490D0000}"/>
    <cellStyle name="Migliaia 47 5 2" xfId="3624" xr:uid="{00000000-0005-0000-0000-00004A0D0000}"/>
    <cellStyle name="Migliaia 47 5 3" xfId="6154" xr:uid="{00000000-0005-0000-0000-00004B0D0000}"/>
    <cellStyle name="Migliaia 47 5 4" xfId="6155" xr:uid="{00000000-0005-0000-0000-00004C0D0000}"/>
    <cellStyle name="Migliaia 47 5 5" xfId="6156" xr:uid="{00000000-0005-0000-0000-00004D0D0000}"/>
    <cellStyle name="Migliaia 47 6" xfId="765" xr:uid="{00000000-0005-0000-0000-00004E0D0000}"/>
    <cellStyle name="Migliaia 47 6 2" xfId="3210" xr:uid="{00000000-0005-0000-0000-00004F0D0000}"/>
    <cellStyle name="Migliaia 47 7" xfId="1921" xr:uid="{00000000-0005-0000-0000-0000500D0000}"/>
    <cellStyle name="Migliaia 47 8" xfId="6157" xr:uid="{00000000-0005-0000-0000-0000510D0000}"/>
    <cellStyle name="Migliaia 47 9" xfId="6158" xr:uid="{00000000-0005-0000-0000-0000520D0000}"/>
    <cellStyle name="Migliaia 48" xfId="766" xr:uid="{00000000-0005-0000-0000-0000530D0000}"/>
    <cellStyle name="Migliaia 48 2" xfId="767" xr:uid="{00000000-0005-0000-0000-0000540D0000}"/>
    <cellStyle name="Migliaia 48 2 2" xfId="2388" xr:uid="{00000000-0005-0000-0000-0000550D0000}"/>
    <cellStyle name="Migliaia 48 2 2 2" xfId="4375" xr:uid="{00000000-0005-0000-0000-0000560D0000}"/>
    <cellStyle name="Migliaia 48 2 3" xfId="3277" xr:uid="{00000000-0005-0000-0000-0000570D0000}"/>
    <cellStyle name="Migliaia 48 2 4" xfId="6159" xr:uid="{00000000-0005-0000-0000-0000580D0000}"/>
    <cellStyle name="Migliaia 48 2 5" xfId="6160" xr:uid="{00000000-0005-0000-0000-0000590D0000}"/>
    <cellStyle name="Migliaia 48 3" xfId="768" xr:uid="{00000000-0005-0000-0000-00005A0D0000}"/>
    <cellStyle name="Migliaia 48 3 2" xfId="769" xr:uid="{00000000-0005-0000-0000-00005B0D0000}"/>
    <cellStyle name="Migliaia 48 3 2 2" xfId="2390" xr:uid="{00000000-0005-0000-0000-00005C0D0000}"/>
    <cellStyle name="Migliaia 48 3 2 3" xfId="3626" xr:uid="{00000000-0005-0000-0000-00005D0D0000}"/>
    <cellStyle name="Migliaia 48 3 2 4" xfId="2389" xr:uid="{00000000-0005-0000-0000-00005E0D0000}"/>
    <cellStyle name="Migliaia 48 3 2 5" xfId="6161" xr:uid="{00000000-0005-0000-0000-00005F0D0000}"/>
    <cellStyle name="Migliaia 48 3 3" xfId="3627" xr:uid="{00000000-0005-0000-0000-0000600D0000}"/>
    <cellStyle name="Migliaia 48 3 3 2" xfId="4377" xr:uid="{00000000-0005-0000-0000-0000610D0000}"/>
    <cellStyle name="Migliaia 48 3 3 3" xfId="6162" xr:uid="{00000000-0005-0000-0000-0000620D0000}"/>
    <cellStyle name="Migliaia 48 3 3 4" xfId="6163" xr:uid="{00000000-0005-0000-0000-0000630D0000}"/>
    <cellStyle name="Migliaia 48 3 3 5" xfId="6164" xr:uid="{00000000-0005-0000-0000-0000640D0000}"/>
    <cellStyle name="Migliaia 48 3 4" xfId="4376" xr:uid="{00000000-0005-0000-0000-0000650D0000}"/>
    <cellStyle name="Migliaia 48 3 5" xfId="3625" xr:uid="{00000000-0005-0000-0000-0000660D0000}"/>
    <cellStyle name="Migliaia 48 3 6" xfId="6165" xr:uid="{00000000-0005-0000-0000-0000670D0000}"/>
    <cellStyle name="Migliaia 48 3 7" xfId="6166" xr:uid="{00000000-0005-0000-0000-0000680D0000}"/>
    <cellStyle name="Migliaia 48 4" xfId="770" xr:uid="{00000000-0005-0000-0000-0000690D0000}"/>
    <cellStyle name="Migliaia 48 4 2" xfId="2391" xr:uid="{00000000-0005-0000-0000-00006A0D0000}"/>
    <cellStyle name="Migliaia 48 4 2 2" xfId="4379" xr:uid="{00000000-0005-0000-0000-00006B0D0000}"/>
    <cellStyle name="Migliaia 48 4 2 3" xfId="3629" xr:uid="{00000000-0005-0000-0000-00006C0D0000}"/>
    <cellStyle name="Migliaia 48 4 3" xfId="4378" xr:uid="{00000000-0005-0000-0000-00006D0D0000}"/>
    <cellStyle name="Migliaia 48 4 4" xfId="3628" xr:uid="{00000000-0005-0000-0000-00006E0D0000}"/>
    <cellStyle name="Migliaia 48 4 5" xfId="6167" xr:uid="{00000000-0005-0000-0000-00006F0D0000}"/>
    <cellStyle name="Migliaia 48 4 6" xfId="6168" xr:uid="{00000000-0005-0000-0000-0000700D0000}"/>
    <cellStyle name="Migliaia 48 5" xfId="771" xr:uid="{00000000-0005-0000-0000-0000710D0000}"/>
    <cellStyle name="Migliaia 48 5 2" xfId="3630" xr:uid="{00000000-0005-0000-0000-0000720D0000}"/>
    <cellStyle name="Migliaia 48 5 3" xfId="6169" xr:uid="{00000000-0005-0000-0000-0000730D0000}"/>
    <cellStyle name="Migliaia 48 5 4" xfId="6170" xr:uid="{00000000-0005-0000-0000-0000740D0000}"/>
    <cellStyle name="Migliaia 48 5 5" xfId="6171" xr:uid="{00000000-0005-0000-0000-0000750D0000}"/>
    <cellStyle name="Migliaia 48 6" xfId="772" xr:uid="{00000000-0005-0000-0000-0000760D0000}"/>
    <cellStyle name="Migliaia 48 6 2" xfId="3211" xr:uid="{00000000-0005-0000-0000-0000770D0000}"/>
    <cellStyle name="Migliaia 48 7" xfId="1922" xr:uid="{00000000-0005-0000-0000-0000780D0000}"/>
    <cellStyle name="Migliaia 48 8" xfId="6172" xr:uid="{00000000-0005-0000-0000-0000790D0000}"/>
    <cellStyle name="Migliaia 48 9" xfId="6173" xr:uid="{00000000-0005-0000-0000-00007A0D0000}"/>
    <cellStyle name="Migliaia 49" xfId="773" xr:uid="{00000000-0005-0000-0000-00007B0D0000}"/>
    <cellStyle name="Migliaia 49 2" xfId="774" xr:uid="{00000000-0005-0000-0000-00007C0D0000}"/>
    <cellStyle name="Migliaia 49 2 2" xfId="2392" xr:uid="{00000000-0005-0000-0000-00007D0D0000}"/>
    <cellStyle name="Migliaia 49 2 2 2" xfId="4380" xr:uid="{00000000-0005-0000-0000-00007E0D0000}"/>
    <cellStyle name="Migliaia 49 2 3" xfId="3278" xr:uid="{00000000-0005-0000-0000-00007F0D0000}"/>
    <cellStyle name="Migliaia 49 2 4" xfId="6174" xr:uid="{00000000-0005-0000-0000-0000800D0000}"/>
    <cellStyle name="Migliaia 49 2 5" xfId="6175" xr:uid="{00000000-0005-0000-0000-0000810D0000}"/>
    <cellStyle name="Migliaia 49 3" xfId="775" xr:uid="{00000000-0005-0000-0000-0000820D0000}"/>
    <cellStyle name="Migliaia 49 3 2" xfId="776" xr:uid="{00000000-0005-0000-0000-0000830D0000}"/>
    <cellStyle name="Migliaia 49 3 2 2" xfId="2394" xr:uid="{00000000-0005-0000-0000-0000840D0000}"/>
    <cellStyle name="Migliaia 49 3 2 3" xfId="3632" xr:uid="{00000000-0005-0000-0000-0000850D0000}"/>
    <cellStyle name="Migliaia 49 3 2 4" xfId="2393" xr:uid="{00000000-0005-0000-0000-0000860D0000}"/>
    <cellStyle name="Migliaia 49 3 2 5" xfId="6176" xr:uid="{00000000-0005-0000-0000-0000870D0000}"/>
    <cellStyle name="Migliaia 49 3 3" xfId="3633" xr:uid="{00000000-0005-0000-0000-0000880D0000}"/>
    <cellStyle name="Migliaia 49 3 3 2" xfId="4382" xr:uid="{00000000-0005-0000-0000-0000890D0000}"/>
    <cellStyle name="Migliaia 49 3 3 3" xfId="6177" xr:uid="{00000000-0005-0000-0000-00008A0D0000}"/>
    <cellStyle name="Migliaia 49 3 3 4" xfId="6178" xr:uid="{00000000-0005-0000-0000-00008B0D0000}"/>
    <cellStyle name="Migliaia 49 3 3 5" xfId="6179" xr:uid="{00000000-0005-0000-0000-00008C0D0000}"/>
    <cellStyle name="Migliaia 49 3 4" xfId="4381" xr:uid="{00000000-0005-0000-0000-00008D0D0000}"/>
    <cellStyle name="Migliaia 49 3 5" xfId="3631" xr:uid="{00000000-0005-0000-0000-00008E0D0000}"/>
    <cellStyle name="Migliaia 49 3 6" xfId="6180" xr:uid="{00000000-0005-0000-0000-00008F0D0000}"/>
    <cellStyle name="Migliaia 49 3 7" xfId="6181" xr:uid="{00000000-0005-0000-0000-0000900D0000}"/>
    <cellStyle name="Migliaia 49 4" xfId="777" xr:uid="{00000000-0005-0000-0000-0000910D0000}"/>
    <cellStyle name="Migliaia 49 4 2" xfId="2395" xr:uid="{00000000-0005-0000-0000-0000920D0000}"/>
    <cellStyle name="Migliaia 49 4 2 2" xfId="4384" xr:uid="{00000000-0005-0000-0000-0000930D0000}"/>
    <cellStyle name="Migliaia 49 4 2 3" xfId="3635" xr:uid="{00000000-0005-0000-0000-0000940D0000}"/>
    <cellStyle name="Migliaia 49 4 3" xfId="4383" xr:uid="{00000000-0005-0000-0000-0000950D0000}"/>
    <cellStyle name="Migliaia 49 4 4" xfId="3634" xr:uid="{00000000-0005-0000-0000-0000960D0000}"/>
    <cellStyle name="Migliaia 49 4 5" xfId="6182" xr:uid="{00000000-0005-0000-0000-0000970D0000}"/>
    <cellStyle name="Migliaia 49 4 6" xfId="6183" xr:uid="{00000000-0005-0000-0000-0000980D0000}"/>
    <cellStyle name="Migliaia 49 5" xfId="778" xr:uid="{00000000-0005-0000-0000-0000990D0000}"/>
    <cellStyle name="Migliaia 49 5 2" xfId="3636" xr:uid="{00000000-0005-0000-0000-00009A0D0000}"/>
    <cellStyle name="Migliaia 49 5 3" xfId="6184" xr:uid="{00000000-0005-0000-0000-00009B0D0000}"/>
    <cellStyle name="Migliaia 49 5 4" xfId="6185" xr:uid="{00000000-0005-0000-0000-00009C0D0000}"/>
    <cellStyle name="Migliaia 49 5 5" xfId="6186" xr:uid="{00000000-0005-0000-0000-00009D0D0000}"/>
    <cellStyle name="Migliaia 49 6" xfId="779" xr:uid="{00000000-0005-0000-0000-00009E0D0000}"/>
    <cellStyle name="Migliaia 49 6 2" xfId="3212" xr:uid="{00000000-0005-0000-0000-00009F0D0000}"/>
    <cellStyle name="Migliaia 49 7" xfId="1923" xr:uid="{00000000-0005-0000-0000-0000A00D0000}"/>
    <cellStyle name="Migliaia 49 8" xfId="6187" xr:uid="{00000000-0005-0000-0000-0000A10D0000}"/>
    <cellStyle name="Migliaia 49 9" xfId="6188" xr:uid="{00000000-0005-0000-0000-0000A20D0000}"/>
    <cellStyle name="Migliaia 5" xfId="780" xr:uid="{00000000-0005-0000-0000-0000A30D0000}"/>
    <cellStyle name="Migliaia 5 2" xfId="781" xr:uid="{00000000-0005-0000-0000-0000A40D0000}"/>
    <cellStyle name="Migliaia 5 2 2" xfId="2396" xr:uid="{00000000-0005-0000-0000-0000A50D0000}"/>
    <cellStyle name="Migliaia 5 2 2 2" xfId="4385" xr:uid="{00000000-0005-0000-0000-0000A60D0000}"/>
    <cellStyle name="Migliaia 5 2 3" xfId="3279" xr:uid="{00000000-0005-0000-0000-0000A70D0000}"/>
    <cellStyle name="Migliaia 5 2 4" xfId="6189" xr:uid="{00000000-0005-0000-0000-0000A80D0000}"/>
    <cellStyle name="Migliaia 5 2 5" xfId="6190" xr:uid="{00000000-0005-0000-0000-0000A90D0000}"/>
    <cellStyle name="Migliaia 5 3" xfId="782" xr:uid="{00000000-0005-0000-0000-0000AA0D0000}"/>
    <cellStyle name="Migliaia 5 3 2" xfId="783" xr:uid="{00000000-0005-0000-0000-0000AB0D0000}"/>
    <cellStyle name="Migliaia 5 3 2 2" xfId="2398" xr:uid="{00000000-0005-0000-0000-0000AC0D0000}"/>
    <cellStyle name="Migliaia 5 3 2 3" xfId="3638" xr:uid="{00000000-0005-0000-0000-0000AD0D0000}"/>
    <cellStyle name="Migliaia 5 3 2 4" xfId="2397" xr:uid="{00000000-0005-0000-0000-0000AE0D0000}"/>
    <cellStyle name="Migliaia 5 3 2 5" xfId="6191" xr:uid="{00000000-0005-0000-0000-0000AF0D0000}"/>
    <cellStyle name="Migliaia 5 3 3" xfId="3639" xr:uid="{00000000-0005-0000-0000-0000B00D0000}"/>
    <cellStyle name="Migliaia 5 3 3 2" xfId="4387" xr:uid="{00000000-0005-0000-0000-0000B10D0000}"/>
    <cellStyle name="Migliaia 5 3 3 3" xfId="6192" xr:uid="{00000000-0005-0000-0000-0000B20D0000}"/>
    <cellStyle name="Migliaia 5 3 3 4" xfId="6193" xr:uid="{00000000-0005-0000-0000-0000B30D0000}"/>
    <cellStyle name="Migliaia 5 3 3 5" xfId="6194" xr:uid="{00000000-0005-0000-0000-0000B40D0000}"/>
    <cellStyle name="Migliaia 5 3 4" xfId="4386" xr:uid="{00000000-0005-0000-0000-0000B50D0000}"/>
    <cellStyle name="Migliaia 5 3 5" xfId="3637" xr:uid="{00000000-0005-0000-0000-0000B60D0000}"/>
    <cellStyle name="Migliaia 5 3 6" xfId="6195" xr:uid="{00000000-0005-0000-0000-0000B70D0000}"/>
    <cellStyle name="Migliaia 5 3 7" xfId="6196" xr:uid="{00000000-0005-0000-0000-0000B80D0000}"/>
    <cellStyle name="Migliaia 5 4" xfId="784" xr:uid="{00000000-0005-0000-0000-0000B90D0000}"/>
    <cellStyle name="Migliaia 5 4 2" xfId="2399" xr:uid="{00000000-0005-0000-0000-0000BA0D0000}"/>
    <cellStyle name="Migliaia 5 4 2 2" xfId="4389" xr:uid="{00000000-0005-0000-0000-0000BB0D0000}"/>
    <cellStyle name="Migliaia 5 4 2 3" xfId="3641" xr:uid="{00000000-0005-0000-0000-0000BC0D0000}"/>
    <cellStyle name="Migliaia 5 4 3" xfId="4388" xr:uid="{00000000-0005-0000-0000-0000BD0D0000}"/>
    <cellStyle name="Migliaia 5 4 4" xfId="3640" xr:uid="{00000000-0005-0000-0000-0000BE0D0000}"/>
    <cellStyle name="Migliaia 5 4 5" xfId="6197" xr:uid="{00000000-0005-0000-0000-0000BF0D0000}"/>
    <cellStyle name="Migliaia 5 4 6" xfId="6198" xr:uid="{00000000-0005-0000-0000-0000C00D0000}"/>
    <cellStyle name="Migliaia 5 5" xfId="785" xr:uid="{00000000-0005-0000-0000-0000C10D0000}"/>
    <cellStyle name="Migliaia 5 5 2" xfId="3642" xr:uid="{00000000-0005-0000-0000-0000C20D0000}"/>
    <cellStyle name="Migliaia 5 5 3" xfId="6199" xr:uid="{00000000-0005-0000-0000-0000C30D0000}"/>
    <cellStyle name="Migliaia 5 5 4" xfId="6200" xr:uid="{00000000-0005-0000-0000-0000C40D0000}"/>
    <cellStyle name="Migliaia 5 5 5" xfId="6201" xr:uid="{00000000-0005-0000-0000-0000C50D0000}"/>
    <cellStyle name="Migliaia 5 6" xfId="786" xr:uid="{00000000-0005-0000-0000-0000C60D0000}"/>
    <cellStyle name="Migliaia 5 6 2" xfId="3213" xr:uid="{00000000-0005-0000-0000-0000C70D0000}"/>
    <cellStyle name="Migliaia 5 7" xfId="1924" xr:uid="{00000000-0005-0000-0000-0000C80D0000}"/>
    <cellStyle name="Migliaia 5 8" xfId="6202" xr:uid="{00000000-0005-0000-0000-0000C90D0000}"/>
    <cellStyle name="Migliaia 5 9" xfId="6203" xr:uid="{00000000-0005-0000-0000-0000CA0D0000}"/>
    <cellStyle name="Migliaia 50" xfId="787" xr:uid="{00000000-0005-0000-0000-0000CB0D0000}"/>
    <cellStyle name="Migliaia 50 2" xfId="788" xr:uid="{00000000-0005-0000-0000-0000CC0D0000}"/>
    <cellStyle name="Migliaia 50 2 2" xfId="2400" xr:uid="{00000000-0005-0000-0000-0000CD0D0000}"/>
    <cellStyle name="Migliaia 50 2 2 2" xfId="4390" xr:uid="{00000000-0005-0000-0000-0000CE0D0000}"/>
    <cellStyle name="Migliaia 50 2 3" xfId="3280" xr:uid="{00000000-0005-0000-0000-0000CF0D0000}"/>
    <cellStyle name="Migliaia 50 2 4" xfId="6204" xr:uid="{00000000-0005-0000-0000-0000D00D0000}"/>
    <cellStyle name="Migliaia 50 2 5" xfId="6205" xr:uid="{00000000-0005-0000-0000-0000D10D0000}"/>
    <cellStyle name="Migliaia 50 3" xfId="789" xr:uid="{00000000-0005-0000-0000-0000D20D0000}"/>
    <cellStyle name="Migliaia 50 3 2" xfId="790" xr:uid="{00000000-0005-0000-0000-0000D30D0000}"/>
    <cellStyle name="Migliaia 50 3 2 2" xfId="2402" xr:uid="{00000000-0005-0000-0000-0000D40D0000}"/>
    <cellStyle name="Migliaia 50 3 2 3" xfId="3644" xr:uid="{00000000-0005-0000-0000-0000D50D0000}"/>
    <cellStyle name="Migliaia 50 3 2 4" xfId="2401" xr:uid="{00000000-0005-0000-0000-0000D60D0000}"/>
    <cellStyle name="Migliaia 50 3 2 5" xfId="6206" xr:uid="{00000000-0005-0000-0000-0000D70D0000}"/>
    <cellStyle name="Migliaia 50 3 3" xfId="3645" xr:uid="{00000000-0005-0000-0000-0000D80D0000}"/>
    <cellStyle name="Migliaia 50 3 3 2" xfId="4392" xr:uid="{00000000-0005-0000-0000-0000D90D0000}"/>
    <cellStyle name="Migliaia 50 3 3 3" xfId="6207" xr:uid="{00000000-0005-0000-0000-0000DA0D0000}"/>
    <cellStyle name="Migliaia 50 3 3 4" xfId="6208" xr:uid="{00000000-0005-0000-0000-0000DB0D0000}"/>
    <cellStyle name="Migliaia 50 3 3 5" xfId="6209" xr:uid="{00000000-0005-0000-0000-0000DC0D0000}"/>
    <cellStyle name="Migliaia 50 3 4" xfId="4391" xr:uid="{00000000-0005-0000-0000-0000DD0D0000}"/>
    <cellStyle name="Migliaia 50 3 5" xfId="3643" xr:uid="{00000000-0005-0000-0000-0000DE0D0000}"/>
    <cellStyle name="Migliaia 50 3 6" xfId="6210" xr:uid="{00000000-0005-0000-0000-0000DF0D0000}"/>
    <cellStyle name="Migliaia 50 3 7" xfId="6211" xr:uid="{00000000-0005-0000-0000-0000E00D0000}"/>
    <cellStyle name="Migliaia 50 4" xfId="791" xr:uid="{00000000-0005-0000-0000-0000E10D0000}"/>
    <cellStyle name="Migliaia 50 4 2" xfId="2403" xr:uid="{00000000-0005-0000-0000-0000E20D0000}"/>
    <cellStyle name="Migliaia 50 4 2 2" xfId="4394" xr:uid="{00000000-0005-0000-0000-0000E30D0000}"/>
    <cellStyle name="Migliaia 50 4 2 3" xfId="3647" xr:uid="{00000000-0005-0000-0000-0000E40D0000}"/>
    <cellStyle name="Migliaia 50 4 3" xfId="4393" xr:uid="{00000000-0005-0000-0000-0000E50D0000}"/>
    <cellStyle name="Migliaia 50 4 4" xfId="3646" xr:uid="{00000000-0005-0000-0000-0000E60D0000}"/>
    <cellStyle name="Migliaia 50 4 5" xfId="6212" xr:uid="{00000000-0005-0000-0000-0000E70D0000}"/>
    <cellStyle name="Migliaia 50 4 6" xfId="6213" xr:uid="{00000000-0005-0000-0000-0000E80D0000}"/>
    <cellStyle name="Migliaia 50 5" xfId="792" xr:uid="{00000000-0005-0000-0000-0000E90D0000}"/>
    <cellStyle name="Migliaia 50 5 2" xfId="3648" xr:uid="{00000000-0005-0000-0000-0000EA0D0000}"/>
    <cellStyle name="Migliaia 50 5 3" xfId="6214" xr:uid="{00000000-0005-0000-0000-0000EB0D0000}"/>
    <cellStyle name="Migliaia 50 5 4" xfId="6215" xr:uid="{00000000-0005-0000-0000-0000EC0D0000}"/>
    <cellStyle name="Migliaia 50 5 5" xfId="6216" xr:uid="{00000000-0005-0000-0000-0000ED0D0000}"/>
    <cellStyle name="Migliaia 50 6" xfId="793" xr:uid="{00000000-0005-0000-0000-0000EE0D0000}"/>
    <cellStyle name="Migliaia 50 6 2" xfId="3214" xr:uid="{00000000-0005-0000-0000-0000EF0D0000}"/>
    <cellStyle name="Migliaia 50 7" xfId="1925" xr:uid="{00000000-0005-0000-0000-0000F00D0000}"/>
    <cellStyle name="Migliaia 50 8" xfId="6217" xr:uid="{00000000-0005-0000-0000-0000F10D0000}"/>
    <cellStyle name="Migliaia 50 9" xfId="6218" xr:uid="{00000000-0005-0000-0000-0000F20D0000}"/>
    <cellStyle name="Migliaia 51" xfId="794" xr:uid="{00000000-0005-0000-0000-0000F30D0000}"/>
    <cellStyle name="Migliaia 51 2" xfId="795" xr:uid="{00000000-0005-0000-0000-0000F40D0000}"/>
    <cellStyle name="Migliaia 51 2 2" xfId="2404" xr:uid="{00000000-0005-0000-0000-0000F50D0000}"/>
    <cellStyle name="Migliaia 51 2 2 2" xfId="4395" xr:uid="{00000000-0005-0000-0000-0000F60D0000}"/>
    <cellStyle name="Migliaia 51 2 3" xfId="3281" xr:uid="{00000000-0005-0000-0000-0000F70D0000}"/>
    <cellStyle name="Migliaia 51 2 4" xfId="6219" xr:uid="{00000000-0005-0000-0000-0000F80D0000}"/>
    <cellStyle name="Migliaia 51 2 5" xfId="6220" xr:uid="{00000000-0005-0000-0000-0000F90D0000}"/>
    <cellStyle name="Migliaia 51 3" xfId="796" xr:uid="{00000000-0005-0000-0000-0000FA0D0000}"/>
    <cellStyle name="Migliaia 51 3 2" xfId="797" xr:uid="{00000000-0005-0000-0000-0000FB0D0000}"/>
    <cellStyle name="Migliaia 51 3 2 2" xfId="2406" xr:uid="{00000000-0005-0000-0000-0000FC0D0000}"/>
    <cellStyle name="Migliaia 51 3 2 3" xfId="3650" xr:uid="{00000000-0005-0000-0000-0000FD0D0000}"/>
    <cellStyle name="Migliaia 51 3 2 4" xfId="2405" xr:uid="{00000000-0005-0000-0000-0000FE0D0000}"/>
    <cellStyle name="Migliaia 51 3 2 5" xfId="6221" xr:uid="{00000000-0005-0000-0000-0000FF0D0000}"/>
    <cellStyle name="Migliaia 51 3 3" xfId="3651" xr:uid="{00000000-0005-0000-0000-0000000E0000}"/>
    <cellStyle name="Migliaia 51 3 3 2" xfId="4397" xr:uid="{00000000-0005-0000-0000-0000010E0000}"/>
    <cellStyle name="Migliaia 51 3 3 3" xfId="6222" xr:uid="{00000000-0005-0000-0000-0000020E0000}"/>
    <cellStyle name="Migliaia 51 3 3 4" xfId="6223" xr:uid="{00000000-0005-0000-0000-0000030E0000}"/>
    <cellStyle name="Migliaia 51 3 3 5" xfId="6224" xr:uid="{00000000-0005-0000-0000-0000040E0000}"/>
    <cellStyle name="Migliaia 51 3 4" xfId="4396" xr:uid="{00000000-0005-0000-0000-0000050E0000}"/>
    <cellStyle name="Migliaia 51 3 5" xfId="3649" xr:uid="{00000000-0005-0000-0000-0000060E0000}"/>
    <cellStyle name="Migliaia 51 3 6" xfId="6225" xr:uid="{00000000-0005-0000-0000-0000070E0000}"/>
    <cellStyle name="Migliaia 51 3 7" xfId="6226" xr:uid="{00000000-0005-0000-0000-0000080E0000}"/>
    <cellStyle name="Migliaia 51 4" xfId="798" xr:uid="{00000000-0005-0000-0000-0000090E0000}"/>
    <cellStyle name="Migliaia 51 4 2" xfId="2407" xr:uid="{00000000-0005-0000-0000-00000A0E0000}"/>
    <cellStyle name="Migliaia 51 4 2 2" xfId="4399" xr:uid="{00000000-0005-0000-0000-00000B0E0000}"/>
    <cellStyle name="Migliaia 51 4 2 3" xfId="3653" xr:uid="{00000000-0005-0000-0000-00000C0E0000}"/>
    <cellStyle name="Migliaia 51 4 3" xfId="4398" xr:uid="{00000000-0005-0000-0000-00000D0E0000}"/>
    <cellStyle name="Migliaia 51 4 4" xfId="3652" xr:uid="{00000000-0005-0000-0000-00000E0E0000}"/>
    <cellStyle name="Migliaia 51 4 5" xfId="6227" xr:uid="{00000000-0005-0000-0000-00000F0E0000}"/>
    <cellStyle name="Migliaia 51 4 6" xfId="6228" xr:uid="{00000000-0005-0000-0000-0000100E0000}"/>
    <cellStyle name="Migliaia 51 5" xfId="799" xr:uid="{00000000-0005-0000-0000-0000110E0000}"/>
    <cellStyle name="Migliaia 51 5 2" xfId="3654" xr:uid="{00000000-0005-0000-0000-0000120E0000}"/>
    <cellStyle name="Migliaia 51 5 3" xfId="6229" xr:uid="{00000000-0005-0000-0000-0000130E0000}"/>
    <cellStyle name="Migliaia 51 5 4" xfId="6230" xr:uid="{00000000-0005-0000-0000-0000140E0000}"/>
    <cellStyle name="Migliaia 51 5 5" xfId="6231" xr:uid="{00000000-0005-0000-0000-0000150E0000}"/>
    <cellStyle name="Migliaia 51 6" xfId="800" xr:uid="{00000000-0005-0000-0000-0000160E0000}"/>
    <cellStyle name="Migliaia 51 6 2" xfId="3215" xr:uid="{00000000-0005-0000-0000-0000170E0000}"/>
    <cellStyle name="Migliaia 51 7" xfId="1926" xr:uid="{00000000-0005-0000-0000-0000180E0000}"/>
    <cellStyle name="Migliaia 51 8" xfId="6232" xr:uid="{00000000-0005-0000-0000-0000190E0000}"/>
    <cellStyle name="Migliaia 51 9" xfId="6233" xr:uid="{00000000-0005-0000-0000-00001A0E0000}"/>
    <cellStyle name="Migliaia 52" xfId="801" xr:uid="{00000000-0005-0000-0000-00001B0E0000}"/>
    <cellStyle name="Migliaia 52 2" xfId="802" xr:uid="{00000000-0005-0000-0000-00001C0E0000}"/>
    <cellStyle name="Migliaia 52 2 2" xfId="2408" xr:uid="{00000000-0005-0000-0000-00001D0E0000}"/>
    <cellStyle name="Migliaia 52 2 2 2" xfId="4400" xr:uid="{00000000-0005-0000-0000-00001E0E0000}"/>
    <cellStyle name="Migliaia 52 2 3" xfId="3282" xr:uid="{00000000-0005-0000-0000-00001F0E0000}"/>
    <cellStyle name="Migliaia 52 2 4" xfId="6234" xr:uid="{00000000-0005-0000-0000-0000200E0000}"/>
    <cellStyle name="Migliaia 52 2 5" xfId="6235" xr:uid="{00000000-0005-0000-0000-0000210E0000}"/>
    <cellStyle name="Migliaia 52 3" xfId="803" xr:uid="{00000000-0005-0000-0000-0000220E0000}"/>
    <cellStyle name="Migliaia 52 3 2" xfId="804" xr:uid="{00000000-0005-0000-0000-0000230E0000}"/>
    <cellStyle name="Migliaia 52 3 2 2" xfId="2410" xr:uid="{00000000-0005-0000-0000-0000240E0000}"/>
    <cellStyle name="Migliaia 52 3 2 3" xfId="3656" xr:uid="{00000000-0005-0000-0000-0000250E0000}"/>
    <cellStyle name="Migliaia 52 3 2 4" xfId="2409" xr:uid="{00000000-0005-0000-0000-0000260E0000}"/>
    <cellStyle name="Migliaia 52 3 2 5" xfId="6236" xr:uid="{00000000-0005-0000-0000-0000270E0000}"/>
    <cellStyle name="Migliaia 52 3 3" xfId="3657" xr:uid="{00000000-0005-0000-0000-0000280E0000}"/>
    <cellStyle name="Migliaia 52 3 3 2" xfId="4402" xr:uid="{00000000-0005-0000-0000-0000290E0000}"/>
    <cellStyle name="Migliaia 52 3 3 3" xfId="6237" xr:uid="{00000000-0005-0000-0000-00002A0E0000}"/>
    <cellStyle name="Migliaia 52 3 3 4" xfId="6238" xr:uid="{00000000-0005-0000-0000-00002B0E0000}"/>
    <cellStyle name="Migliaia 52 3 3 5" xfId="6239" xr:uid="{00000000-0005-0000-0000-00002C0E0000}"/>
    <cellStyle name="Migliaia 52 3 4" xfId="4401" xr:uid="{00000000-0005-0000-0000-00002D0E0000}"/>
    <cellStyle name="Migliaia 52 3 5" xfId="3655" xr:uid="{00000000-0005-0000-0000-00002E0E0000}"/>
    <cellStyle name="Migliaia 52 3 6" xfId="6240" xr:uid="{00000000-0005-0000-0000-00002F0E0000}"/>
    <cellStyle name="Migliaia 52 3 7" xfId="6241" xr:uid="{00000000-0005-0000-0000-0000300E0000}"/>
    <cellStyle name="Migliaia 52 4" xfId="805" xr:uid="{00000000-0005-0000-0000-0000310E0000}"/>
    <cellStyle name="Migliaia 52 4 2" xfId="2411" xr:uid="{00000000-0005-0000-0000-0000320E0000}"/>
    <cellStyle name="Migliaia 52 4 2 2" xfId="4404" xr:uid="{00000000-0005-0000-0000-0000330E0000}"/>
    <cellStyle name="Migliaia 52 4 2 3" xfId="3659" xr:uid="{00000000-0005-0000-0000-0000340E0000}"/>
    <cellStyle name="Migliaia 52 4 3" xfId="4403" xr:uid="{00000000-0005-0000-0000-0000350E0000}"/>
    <cellStyle name="Migliaia 52 4 4" xfId="3658" xr:uid="{00000000-0005-0000-0000-0000360E0000}"/>
    <cellStyle name="Migliaia 52 4 5" xfId="6242" xr:uid="{00000000-0005-0000-0000-0000370E0000}"/>
    <cellStyle name="Migliaia 52 4 6" xfId="6243" xr:uid="{00000000-0005-0000-0000-0000380E0000}"/>
    <cellStyle name="Migliaia 52 5" xfId="806" xr:uid="{00000000-0005-0000-0000-0000390E0000}"/>
    <cellStyle name="Migliaia 52 5 2" xfId="3660" xr:uid="{00000000-0005-0000-0000-00003A0E0000}"/>
    <cellStyle name="Migliaia 52 5 3" xfId="6244" xr:uid="{00000000-0005-0000-0000-00003B0E0000}"/>
    <cellStyle name="Migliaia 52 5 4" xfId="6245" xr:uid="{00000000-0005-0000-0000-00003C0E0000}"/>
    <cellStyle name="Migliaia 52 5 5" xfId="6246" xr:uid="{00000000-0005-0000-0000-00003D0E0000}"/>
    <cellStyle name="Migliaia 52 6" xfId="807" xr:uid="{00000000-0005-0000-0000-00003E0E0000}"/>
    <cellStyle name="Migliaia 52 6 2" xfId="3216" xr:uid="{00000000-0005-0000-0000-00003F0E0000}"/>
    <cellStyle name="Migliaia 52 7" xfId="1927" xr:uid="{00000000-0005-0000-0000-0000400E0000}"/>
    <cellStyle name="Migliaia 52 8" xfId="6247" xr:uid="{00000000-0005-0000-0000-0000410E0000}"/>
    <cellStyle name="Migliaia 52 9" xfId="6248" xr:uid="{00000000-0005-0000-0000-0000420E0000}"/>
    <cellStyle name="Migliaia 53" xfId="808" xr:uid="{00000000-0005-0000-0000-0000430E0000}"/>
    <cellStyle name="Migliaia 53 2" xfId="809" xr:uid="{00000000-0005-0000-0000-0000440E0000}"/>
    <cellStyle name="Migliaia 53 2 2" xfId="2412" xr:uid="{00000000-0005-0000-0000-0000450E0000}"/>
    <cellStyle name="Migliaia 53 2 2 2" xfId="4405" xr:uid="{00000000-0005-0000-0000-0000460E0000}"/>
    <cellStyle name="Migliaia 53 2 3" xfId="3283" xr:uid="{00000000-0005-0000-0000-0000470E0000}"/>
    <cellStyle name="Migliaia 53 2 4" xfId="6249" xr:uid="{00000000-0005-0000-0000-0000480E0000}"/>
    <cellStyle name="Migliaia 53 2 5" xfId="6250" xr:uid="{00000000-0005-0000-0000-0000490E0000}"/>
    <cellStyle name="Migliaia 53 3" xfId="810" xr:uid="{00000000-0005-0000-0000-00004A0E0000}"/>
    <cellStyle name="Migliaia 53 3 2" xfId="811" xr:uid="{00000000-0005-0000-0000-00004B0E0000}"/>
    <cellStyle name="Migliaia 53 3 2 2" xfId="2414" xr:uid="{00000000-0005-0000-0000-00004C0E0000}"/>
    <cellStyle name="Migliaia 53 3 2 3" xfId="3662" xr:uid="{00000000-0005-0000-0000-00004D0E0000}"/>
    <cellStyle name="Migliaia 53 3 2 4" xfId="2413" xr:uid="{00000000-0005-0000-0000-00004E0E0000}"/>
    <cellStyle name="Migliaia 53 3 2 5" xfId="6251" xr:uid="{00000000-0005-0000-0000-00004F0E0000}"/>
    <cellStyle name="Migliaia 53 3 3" xfId="3663" xr:uid="{00000000-0005-0000-0000-0000500E0000}"/>
    <cellStyle name="Migliaia 53 3 3 2" xfId="4407" xr:uid="{00000000-0005-0000-0000-0000510E0000}"/>
    <cellStyle name="Migliaia 53 3 3 3" xfId="6252" xr:uid="{00000000-0005-0000-0000-0000520E0000}"/>
    <cellStyle name="Migliaia 53 3 3 4" xfId="6253" xr:uid="{00000000-0005-0000-0000-0000530E0000}"/>
    <cellStyle name="Migliaia 53 3 3 5" xfId="6254" xr:uid="{00000000-0005-0000-0000-0000540E0000}"/>
    <cellStyle name="Migliaia 53 3 4" xfId="4406" xr:uid="{00000000-0005-0000-0000-0000550E0000}"/>
    <cellStyle name="Migliaia 53 3 5" xfId="3661" xr:uid="{00000000-0005-0000-0000-0000560E0000}"/>
    <cellStyle name="Migliaia 53 3 6" xfId="6255" xr:uid="{00000000-0005-0000-0000-0000570E0000}"/>
    <cellStyle name="Migliaia 53 3 7" xfId="6256" xr:uid="{00000000-0005-0000-0000-0000580E0000}"/>
    <cellStyle name="Migliaia 53 4" xfId="812" xr:uid="{00000000-0005-0000-0000-0000590E0000}"/>
    <cellStyle name="Migliaia 53 4 2" xfId="2415" xr:uid="{00000000-0005-0000-0000-00005A0E0000}"/>
    <cellStyle name="Migliaia 53 4 2 2" xfId="4409" xr:uid="{00000000-0005-0000-0000-00005B0E0000}"/>
    <cellStyle name="Migliaia 53 4 2 3" xfId="3665" xr:uid="{00000000-0005-0000-0000-00005C0E0000}"/>
    <cellStyle name="Migliaia 53 4 3" xfId="4408" xr:uid="{00000000-0005-0000-0000-00005D0E0000}"/>
    <cellStyle name="Migliaia 53 4 4" xfId="3664" xr:uid="{00000000-0005-0000-0000-00005E0E0000}"/>
    <cellStyle name="Migliaia 53 4 5" xfId="6257" xr:uid="{00000000-0005-0000-0000-00005F0E0000}"/>
    <cellStyle name="Migliaia 53 4 6" xfId="6258" xr:uid="{00000000-0005-0000-0000-0000600E0000}"/>
    <cellStyle name="Migliaia 53 5" xfId="813" xr:uid="{00000000-0005-0000-0000-0000610E0000}"/>
    <cellStyle name="Migliaia 53 5 2" xfId="3666" xr:uid="{00000000-0005-0000-0000-0000620E0000}"/>
    <cellStyle name="Migliaia 53 5 3" xfId="6259" xr:uid="{00000000-0005-0000-0000-0000630E0000}"/>
    <cellStyle name="Migliaia 53 5 4" xfId="6260" xr:uid="{00000000-0005-0000-0000-0000640E0000}"/>
    <cellStyle name="Migliaia 53 5 5" xfId="6261" xr:uid="{00000000-0005-0000-0000-0000650E0000}"/>
    <cellStyle name="Migliaia 53 6" xfId="814" xr:uid="{00000000-0005-0000-0000-0000660E0000}"/>
    <cellStyle name="Migliaia 53 6 2" xfId="3217" xr:uid="{00000000-0005-0000-0000-0000670E0000}"/>
    <cellStyle name="Migliaia 53 7" xfId="1928" xr:uid="{00000000-0005-0000-0000-0000680E0000}"/>
    <cellStyle name="Migliaia 53 8" xfId="6262" xr:uid="{00000000-0005-0000-0000-0000690E0000}"/>
    <cellStyle name="Migliaia 53 9" xfId="6263" xr:uid="{00000000-0005-0000-0000-00006A0E0000}"/>
    <cellStyle name="Migliaia 54" xfId="815" xr:uid="{00000000-0005-0000-0000-00006B0E0000}"/>
    <cellStyle name="Migliaia 54 2" xfId="816" xr:uid="{00000000-0005-0000-0000-00006C0E0000}"/>
    <cellStyle name="Migliaia 54 2 2" xfId="2416" xr:uid="{00000000-0005-0000-0000-00006D0E0000}"/>
    <cellStyle name="Migliaia 54 2 2 2" xfId="4410" xr:uid="{00000000-0005-0000-0000-00006E0E0000}"/>
    <cellStyle name="Migliaia 54 2 3" xfId="3284" xr:uid="{00000000-0005-0000-0000-00006F0E0000}"/>
    <cellStyle name="Migliaia 54 2 4" xfId="6264" xr:uid="{00000000-0005-0000-0000-0000700E0000}"/>
    <cellStyle name="Migliaia 54 2 5" xfId="6265" xr:uid="{00000000-0005-0000-0000-0000710E0000}"/>
    <cellStyle name="Migliaia 54 3" xfId="817" xr:uid="{00000000-0005-0000-0000-0000720E0000}"/>
    <cellStyle name="Migliaia 54 3 2" xfId="818" xr:uid="{00000000-0005-0000-0000-0000730E0000}"/>
    <cellStyle name="Migliaia 54 3 2 2" xfId="2418" xr:uid="{00000000-0005-0000-0000-0000740E0000}"/>
    <cellStyle name="Migliaia 54 3 2 3" xfId="3668" xr:uid="{00000000-0005-0000-0000-0000750E0000}"/>
    <cellStyle name="Migliaia 54 3 2 4" xfId="2417" xr:uid="{00000000-0005-0000-0000-0000760E0000}"/>
    <cellStyle name="Migliaia 54 3 2 5" xfId="6266" xr:uid="{00000000-0005-0000-0000-0000770E0000}"/>
    <cellStyle name="Migliaia 54 3 3" xfId="3669" xr:uid="{00000000-0005-0000-0000-0000780E0000}"/>
    <cellStyle name="Migliaia 54 3 3 2" xfId="4412" xr:uid="{00000000-0005-0000-0000-0000790E0000}"/>
    <cellStyle name="Migliaia 54 3 3 3" xfId="6267" xr:uid="{00000000-0005-0000-0000-00007A0E0000}"/>
    <cellStyle name="Migliaia 54 3 3 4" xfId="6268" xr:uid="{00000000-0005-0000-0000-00007B0E0000}"/>
    <cellStyle name="Migliaia 54 3 3 5" xfId="6269" xr:uid="{00000000-0005-0000-0000-00007C0E0000}"/>
    <cellStyle name="Migliaia 54 3 4" xfId="4411" xr:uid="{00000000-0005-0000-0000-00007D0E0000}"/>
    <cellStyle name="Migliaia 54 3 5" xfId="3667" xr:uid="{00000000-0005-0000-0000-00007E0E0000}"/>
    <cellStyle name="Migliaia 54 3 6" xfId="6270" xr:uid="{00000000-0005-0000-0000-00007F0E0000}"/>
    <cellStyle name="Migliaia 54 3 7" xfId="6271" xr:uid="{00000000-0005-0000-0000-0000800E0000}"/>
    <cellStyle name="Migliaia 54 4" xfId="819" xr:uid="{00000000-0005-0000-0000-0000810E0000}"/>
    <cellStyle name="Migliaia 54 4 2" xfId="2419" xr:uid="{00000000-0005-0000-0000-0000820E0000}"/>
    <cellStyle name="Migliaia 54 4 2 2" xfId="4414" xr:uid="{00000000-0005-0000-0000-0000830E0000}"/>
    <cellStyle name="Migliaia 54 4 2 3" xfId="3671" xr:uid="{00000000-0005-0000-0000-0000840E0000}"/>
    <cellStyle name="Migliaia 54 4 3" xfId="4413" xr:uid="{00000000-0005-0000-0000-0000850E0000}"/>
    <cellStyle name="Migliaia 54 4 4" xfId="3670" xr:uid="{00000000-0005-0000-0000-0000860E0000}"/>
    <cellStyle name="Migliaia 54 4 5" xfId="6272" xr:uid="{00000000-0005-0000-0000-0000870E0000}"/>
    <cellStyle name="Migliaia 54 4 6" xfId="6273" xr:uid="{00000000-0005-0000-0000-0000880E0000}"/>
    <cellStyle name="Migliaia 54 5" xfId="820" xr:uid="{00000000-0005-0000-0000-0000890E0000}"/>
    <cellStyle name="Migliaia 54 5 2" xfId="3672" xr:uid="{00000000-0005-0000-0000-00008A0E0000}"/>
    <cellStyle name="Migliaia 54 5 3" xfId="6274" xr:uid="{00000000-0005-0000-0000-00008B0E0000}"/>
    <cellStyle name="Migliaia 54 5 4" xfId="6275" xr:uid="{00000000-0005-0000-0000-00008C0E0000}"/>
    <cellStyle name="Migliaia 54 5 5" xfId="6276" xr:uid="{00000000-0005-0000-0000-00008D0E0000}"/>
    <cellStyle name="Migliaia 54 6" xfId="821" xr:uid="{00000000-0005-0000-0000-00008E0E0000}"/>
    <cellStyle name="Migliaia 54 6 2" xfId="3218" xr:uid="{00000000-0005-0000-0000-00008F0E0000}"/>
    <cellStyle name="Migliaia 54 7" xfId="1929" xr:uid="{00000000-0005-0000-0000-0000900E0000}"/>
    <cellStyle name="Migliaia 54 8" xfId="6277" xr:uid="{00000000-0005-0000-0000-0000910E0000}"/>
    <cellStyle name="Migliaia 54 9" xfId="6278" xr:uid="{00000000-0005-0000-0000-0000920E0000}"/>
    <cellStyle name="Migliaia 55" xfId="822" xr:uid="{00000000-0005-0000-0000-0000930E0000}"/>
    <cellStyle name="Migliaia 55 2" xfId="823" xr:uid="{00000000-0005-0000-0000-0000940E0000}"/>
    <cellStyle name="Migliaia 55 2 2" xfId="2420" xr:uid="{00000000-0005-0000-0000-0000950E0000}"/>
    <cellStyle name="Migliaia 55 2 2 2" xfId="4415" xr:uid="{00000000-0005-0000-0000-0000960E0000}"/>
    <cellStyle name="Migliaia 55 2 3" xfId="3285" xr:uid="{00000000-0005-0000-0000-0000970E0000}"/>
    <cellStyle name="Migliaia 55 2 4" xfId="6279" xr:uid="{00000000-0005-0000-0000-0000980E0000}"/>
    <cellStyle name="Migliaia 55 2 5" xfId="6280" xr:uid="{00000000-0005-0000-0000-0000990E0000}"/>
    <cellStyle name="Migliaia 55 3" xfId="824" xr:uid="{00000000-0005-0000-0000-00009A0E0000}"/>
    <cellStyle name="Migliaia 55 3 2" xfId="825" xr:uid="{00000000-0005-0000-0000-00009B0E0000}"/>
    <cellStyle name="Migliaia 55 3 2 2" xfId="2422" xr:uid="{00000000-0005-0000-0000-00009C0E0000}"/>
    <cellStyle name="Migliaia 55 3 2 3" xfId="3674" xr:uid="{00000000-0005-0000-0000-00009D0E0000}"/>
    <cellStyle name="Migliaia 55 3 2 4" xfId="2421" xr:uid="{00000000-0005-0000-0000-00009E0E0000}"/>
    <cellStyle name="Migliaia 55 3 2 5" xfId="6281" xr:uid="{00000000-0005-0000-0000-00009F0E0000}"/>
    <cellStyle name="Migliaia 55 3 3" xfId="3675" xr:uid="{00000000-0005-0000-0000-0000A00E0000}"/>
    <cellStyle name="Migliaia 55 3 3 2" xfId="4417" xr:uid="{00000000-0005-0000-0000-0000A10E0000}"/>
    <cellStyle name="Migliaia 55 3 3 3" xfId="6282" xr:uid="{00000000-0005-0000-0000-0000A20E0000}"/>
    <cellStyle name="Migliaia 55 3 3 4" xfId="6283" xr:uid="{00000000-0005-0000-0000-0000A30E0000}"/>
    <cellStyle name="Migliaia 55 3 3 5" xfId="6284" xr:uid="{00000000-0005-0000-0000-0000A40E0000}"/>
    <cellStyle name="Migliaia 55 3 4" xfId="4416" xr:uid="{00000000-0005-0000-0000-0000A50E0000}"/>
    <cellStyle name="Migliaia 55 3 5" xfId="3673" xr:uid="{00000000-0005-0000-0000-0000A60E0000}"/>
    <cellStyle name="Migliaia 55 3 6" xfId="6285" xr:uid="{00000000-0005-0000-0000-0000A70E0000}"/>
    <cellStyle name="Migliaia 55 3 7" xfId="6286" xr:uid="{00000000-0005-0000-0000-0000A80E0000}"/>
    <cellStyle name="Migliaia 55 4" xfId="826" xr:uid="{00000000-0005-0000-0000-0000A90E0000}"/>
    <cellStyle name="Migliaia 55 4 2" xfId="2423" xr:uid="{00000000-0005-0000-0000-0000AA0E0000}"/>
    <cellStyle name="Migliaia 55 4 2 2" xfId="4419" xr:uid="{00000000-0005-0000-0000-0000AB0E0000}"/>
    <cellStyle name="Migliaia 55 4 2 3" xfId="3677" xr:uid="{00000000-0005-0000-0000-0000AC0E0000}"/>
    <cellStyle name="Migliaia 55 4 3" xfId="4418" xr:uid="{00000000-0005-0000-0000-0000AD0E0000}"/>
    <cellStyle name="Migliaia 55 4 4" xfId="3676" xr:uid="{00000000-0005-0000-0000-0000AE0E0000}"/>
    <cellStyle name="Migliaia 55 4 5" xfId="6287" xr:uid="{00000000-0005-0000-0000-0000AF0E0000}"/>
    <cellStyle name="Migliaia 55 4 6" xfId="6288" xr:uid="{00000000-0005-0000-0000-0000B00E0000}"/>
    <cellStyle name="Migliaia 55 5" xfId="827" xr:uid="{00000000-0005-0000-0000-0000B10E0000}"/>
    <cellStyle name="Migliaia 55 5 2" xfId="3678" xr:uid="{00000000-0005-0000-0000-0000B20E0000}"/>
    <cellStyle name="Migliaia 55 5 3" xfId="6289" xr:uid="{00000000-0005-0000-0000-0000B30E0000}"/>
    <cellStyle name="Migliaia 55 5 4" xfId="6290" xr:uid="{00000000-0005-0000-0000-0000B40E0000}"/>
    <cellStyle name="Migliaia 55 5 5" xfId="6291" xr:uid="{00000000-0005-0000-0000-0000B50E0000}"/>
    <cellStyle name="Migliaia 55 6" xfId="828" xr:uid="{00000000-0005-0000-0000-0000B60E0000}"/>
    <cellStyle name="Migliaia 55 6 2" xfId="3219" xr:uid="{00000000-0005-0000-0000-0000B70E0000}"/>
    <cellStyle name="Migliaia 55 7" xfId="1930" xr:uid="{00000000-0005-0000-0000-0000B80E0000}"/>
    <cellStyle name="Migliaia 55 8" xfId="6292" xr:uid="{00000000-0005-0000-0000-0000B90E0000}"/>
    <cellStyle name="Migliaia 55 9" xfId="6293" xr:uid="{00000000-0005-0000-0000-0000BA0E0000}"/>
    <cellStyle name="Migliaia 56" xfId="829" xr:uid="{00000000-0005-0000-0000-0000BB0E0000}"/>
    <cellStyle name="Migliaia 56 2" xfId="830" xr:uid="{00000000-0005-0000-0000-0000BC0E0000}"/>
    <cellStyle name="Migliaia 56 2 2" xfId="2424" xr:uid="{00000000-0005-0000-0000-0000BD0E0000}"/>
    <cellStyle name="Migliaia 56 2 2 2" xfId="4420" xr:uid="{00000000-0005-0000-0000-0000BE0E0000}"/>
    <cellStyle name="Migliaia 56 2 3" xfId="3286" xr:uid="{00000000-0005-0000-0000-0000BF0E0000}"/>
    <cellStyle name="Migliaia 56 2 4" xfId="6294" xr:uid="{00000000-0005-0000-0000-0000C00E0000}"/>
    <cellStyle name="Migliaia 56 2 5" xfId="6295" xr:uid="{00000000-0005-0000-0000-0000C10E0000}"/>
    <cellStyle name="Migliaia 56 3" xfId="831" xr:uid="{00000000-0005-0000-0000-0000C20E0000}"/>
    <cellStyle name="Migliaia 56 3 2" xfId="832" xr:uid="{00000000-0005-0000-0000-0000C30E0000}"/>
    <cellStyle name="Migliaia 56 3 2 2" xfId="2426" xr:uid="{00000000-0005-0000-0000-0000C40E0000}"/>
    <cellStyle name="Migliaia 56 3 2 3" xfId="3680" xr:uid="{00000000-0005-0000-0000-0000C50E0000}"/>
    <cellStyle name="Migliaia 56 3 2 4" xfId="2425" xr:uid="{00000000-0005-0000-0000-0000C60E0000}"/>
    <cellStyle name="Migliaia 56 3 2 5" xfId="6296" xr:uid="{00000000-0005-0000-0000-0000C70E0000}"/>
    <cellStyle name="Migliaia 56 3 3" xfId="3681" xr:uid="{00000000-0005-0000-0000-0000C80E0000}"/>
    <cellStyle name="Migliaia 56 3 3 2" xfId="4422" xr:uid="{00000000-0005-0000-0000-0000C90E0000}"/>
    <cellStyle name="Migliaia 56 3 3 3" xfId="6297" xr:uid="{00000000-0005-0000-0000-0000CA0E0000}"/>
    <cellStyle name="Migliaia 56 3 3 4" xfId="6298" xr:uid="{00000000-0005-0000-0000-0000CB0E0000}"/>
    <cellStyle name="Migliaia 56 3 3 5" xfId="6299" xr:uid="{00000000-0005-0000-0000-0000CC0E0000}"/>
    <cellStyle name="Migliaia 56 3 4" xfId="4421" xr:uid="{00000000-0005-0000-0000-0000CD0E0000}"/>
    <cellStyle name="Migliaia 56 3 5" xfId="3679" xr:uid="{00000000-0005-0000-0000-0000CE0E0000}"/>
    <cellStyle name="Migliaia 56 3 6" xfId="6300" xr:uid="{00000000-0005-0000-0000-0000CF0E0000}"/>
    <cellStyle name="Migliaia 56 3 7" xfId="6301" xr:uid="{00000000-0005-0000-0000-0000D00E0000}"/>
    <cellStyle name="Migliaia 56 4" xfId="833" xr:uid="{00000000-0005-0000-0000-0000D10E0000}"/>
    <cellStyle name="Migliaia 56 4 2" xfId="2427" xr:uid="{00000000-0005-0000-0000-0000D20E0000}"/>
    <cellStyle name="Migliaia 56 4 2 2" xfId="4424" xr:uid="{00000000-0005-0000-0000-0000D30E0000}"/>
    <cellStyle name="Migliaia 56 4 2 3" xfId="3683" xr:uid="{00000000-0005-0000-0000-0000D40E0000}"/>
    <cellStyle name="Migliaia 56 4 3" xfId="4423" xr:uid="{00000000-0005-0000-0000-0000D50E0000}"/>
    <cellStyle name="Migliaia 56 4 4" xfId="3682" xr:uid="{00000000-0005-0000-0000-0000D60E0000}"/>
    <cellStyle name="Migliaia 56 4 5" xfId="6302" xr:uid="{00000000-0005-0000-0000-0000D70E0000}"/>
    <cellStyle name="Migliaia 56 4 6" xfId="6303" xr:uid="{00000000-0005-0000-0000-0000D80E0000}"/>
    <cellStyle name="Migliaia 56 5" xfId="834" xr:uid="{00000000-0005-0000-0000-0000D90E0000}"/>
    <cellStyle name="Migliaia 56 5 2" xfId="3684" xr:uid="{00000000-0005-0000-0000-0000DA0E0000}"/>
    <cellStyle name="Migliaia 56 5 3" xfId="6304" xr:uid="{00000000-0005-0000-0000-0000DB0E0000}"/>
    <cellStyle name="Migliaia 56 5 4" xfId="6305" xr:uid="{00000000-0005-0000-0000-0000DC0E0000}"/>
    <cellStyle name="Migliaia 56 5 5" xfId="6306" xr:uid="{00000000-0005-0000-0000-0000DD0E0000}"/>
    <cellStyle name="Migliaia 56 6" xfId="835" xr:uid="{00000000-0005-0000-0000-0000DE0E0000}"/>
    <cellStyle name="Migliaia 56 6 2" xfId="3220" xr:uid="{00000000-0005-0000-0000-0000DF0E0000}"/>
    <cellStyle name="Migliaia 56 7" xfId="1931" xr:uid="{00000000-0005-0000-0000-0000E00E0000}"/>
    <cellStyle name="Migliaia 56 8" xfId="6307" xr:uid="{00000000-0005-0000-0000-0000E10E0000}"/>
    <cellStyle name="Migliaia 56 9" xfId="6308" xr:uid="{00000000-0005-0000-0000-0000E20E0000}"/>
    <cellStyle name="Migliaia 57" xfId="836" xr:uid="{00000000-0005-0000-0000-0000E30E0000}"/>
    <cellStyle name="Migliaia 57 2" xfId="837" xr:uid="{00000000-0005-0000-0000-0000E40E0000}"/>
    <cellStyle name="Migliaia 57 2 2" xfId="2428" xr:uid="{00000000-0005-0000-0000-0000E50E0000}"/>
    <cellStyle name="Migliaia 57 2 2 2" xfId="4425" xr:uid="{00000000-0005-0000-0000-0000E60E0000}"/>
    <cellStyle name="Migliaia 57 2 3" xfId="3287" xr:uid="{00000000-0005-0000-0000-0000E70E0000}"/>
    <cellStyle name="Migliaia 57 2 4" xfId="6309" xr:uid="{00000000-0005-0000-0000-0000E80E0000}"/>
    <cellStyle name="Migliaia 57 2 5" xfId="6310" xr:uid="{00000000-0005-0000-0000-0000E90E0000}"/>
    <cellStyle name="Migliaia 57 3" xfId="838" xr:uid="{00000000-0005-0000-0000-0000EA0E0000}"/>
    <cellStyle name="Migliaia 57 3 2" xfId="839" xr:uid="{00000000-0005-0000-0000-0000EB0E0000}"/>
    <cellStyle name="Migliaia 57 3 2 2" xfId="2430" xr:uid="{00000000-0005-0000-0000-0000EC0E0000}"/>
    <cellStyle name="Migliaia 57 3 2 3" xfId="3686" xr:uid="{00000000-0005-0000-0000-0000ED0E0000}"/>
    <cellStyle name="Migliaia 57 3 2 4" xfId="2429" xr:uid="{00000000-0005-0000-0000-0000EE0E0000}"/>
    <cellStyle name="Migliaia 57 3 2 5" xfId="6311" xr:uid="{00000000-0005-0000-0000-0000EF0E0000}"/>
    <cellStyle name="Migliaia 57 3 3" xfId="3687" xr:uid="{00000000-0005-0000-0000-0000F00E0000}"/>
    <cellStyle name="Migliaia 57 3 3 2" xfId="4427" xr:uid="{00000000-0005-0000-0000-0000F10E0000}"/>
    <cellStyle name="Migliaia 57 3 3 3" xfId="6312" xr:uid="{00000000-0005-0000-0000-0000F20E0000}"/>
    <cellStyle name="Migliaia 57 3 3 4" xfId="6313" xr:uid="{00000000-0005-0000-0000-0000F30E0000}"/>
    <cellStyle name="Migliaia 57 3 3 5" xfId="6314" xr:uid="{00000000-0005-0000-0000-0000F40E0000}"/>
    <cellStyle name="Migliaia 57 3 4" xfId="4426" xr:uid="{00000000-0005-0000-0000-0000F50E0000}"/>
    <cellStyle name="Migliaia 57 3 5" xfId="3685" xr:uid="{00000000-0005-0000-0000-0000F60E0000}"/>
    <cellStyle name="Migliaia 57 3 6" xfId="6315" xr:uid="{00000000-0005-0000-0000-0000F70E0000}"/>
    <cellStyle name="Migliaia 57 3 7" xfId="6316" xr:uid="{00000000-0005-0000-0000-0000F80E0000}"/>
    <cellStyle name="Migliaia 57 4" xfId="840" xr:uid="{00000000-0005-0000-0000-0000F90E0000}"/>
    <cellStyle name="Migliaia 57 4 2" xfId="2431" xr:uid="{00000000-0005-0000-0000-0000FA0E0000}"/>
    <cellStyle name="Migliaia 57 4 2 2" xfId="4429" xr:uid="{00000000-0005-0000-0000-0000FB0E0000}"/>
    <cellStyle name="Migliaia 57 4 2 3" xfId="3689" xr:uid="{00000000-0005-0000-0000-0000FC0E0000}"/>
    <cellStyle name="Migliaia 57 4 3" xfId="4428" xr:uid="{00000000-0005-0000-0000-0000FD0E0000}"/>
    <cellStyle name="Migliaia 57 4 4" xfId="3688" xr:uid="{00000000-0005-0000-0000-0000FE0E0000}"/>
    <cellStyle name="Migliaia 57 4 5" xfId="6317" xr:uid="{00000000-0005-0000-0000-0000FF0E0000}"/>
    <cellStyle name="Migliaia 57 4 6" xfId="6318" xr:uid="{00000000-0005-0000-0000-0000000F0000}"/>
    <cellStyle name="Migliaia 57 5" xfId="841" xr:uid="{00000000-0005-0000-0000-0000010F0000}"/>
    <cellStyle name="Migliaia 57 5 2" xfId="3690" xr:uid="{00000000-0005-0000-0000-0000020F0000}"/>
    <cellStyle name="Migliaia 57 5 3" xfId="6319" xr:uid="{00000000-0005-0000-0000-0000030F0000}"/>
    <cellStyle name="Migliaia 57 5 4" xfId="6320" xr:uid="{00000000-0005-0000-0000-0000040F0000}"/>
    <cellStyle name="Migliaia 57 5 5" xfId="6321" xr:uid="{00000000-0005-0000-0000-0000050F0000}"/>
    <cellStyle name="Migliaia 57 6" xfId="842" xr:uid="{00000000-0005-0000-0000-0000060F0000}"/>
    <cellStyle name="Migliaia 57 6 2" xfId="3221" xr:uid="{00000000-0005-0000-0000-0000070F0000}"/>
    <cellStyle name="Migliaia 57 7" xfId="1932" xr:uid="{00000000-0005-0000-0000-0000080F0000}"/>
    <cellStyle name="Migliaia 57 8" xfId="6322" xr:uid="{00000000-0005-0000-0000-0000090F0000}"/>
    <cellStyle name="Migliaia 57 9" xfId="6323" xr:uid="{00000000-0005-0000-0000-00000A0F0000}"/>
    <cellStyle name="Migliaia 58" xfId="843" xr:uid="{00000000-0005-0000-0000-00000B0F0000}"/>
    <cellStyle name="Migliaia 58 2" xfId="844" xr:uid="{00000000-0005-0000-0000-00000C0F0000}"/>
    <cellStyle name="Migliaia 58 2 2" xfId="2432" xr:uid="{00000000-0005-0000-0000-00000D0F0000}"/>
    <cellStyle name="Migliaia 58 2 2 2" xfId="4430" xr:uid="{00000000-0005-0000-0000-00000E0F0000}"/>
    <cellStyle name="Migliaia 58 2 3" xfId="3288" xr:uid="{00000000-0005-0000-0000-00000F0F0000}"/>
    <cellStyle name="Migliaia 58 2 4" xfId="6324" xr:uid="{00000000-0005-0000-0000-0000100F0000}"/>
    <cellStyle name="Migliaia 58 2 5" xfId="6325" xr:uid="{00000000-0005-0000-0000-0000110F0000}"/>
    <cellStyle name="Migliaia 58 3" xfId="845" xr:uid="{00000000-0005-0000-0000-0000120F0000}"/>
    <cellStyle name="Migliaia 58 3 2" xfId="846" xr:uid="{00000000-0005-0000-0000-0000130F0000}"/>
    <cellStyle name="Migliaia 58 3 2 2" xfId="2434" xr:uid="{00000000-0005-0000-0000-0000140F0000}"/>
    <cellStyle name="Migliaia 58 3 2 3" xfId="3692" xr:uid="{00000000-0005-0000-0000-0000150F0000}"/>
    <cellStyle name="Migliaia 58 3 2 4" xfId="2433" xr:uid="{00000000-0005-0000-0000-0000160F0000}"/>
    <cellStyle name="Migliaia 58 3 2 5" xfId="6326" xr:uid="{00000000-0005-0000-0000-0000170F0000}"/>
    <cellStyle name="Migliaia 58 3 3" xfId="3693" xr:uid="{00000000-0005-0000-0000-0000180F0000}"/>
    <cellStyle name="Migliaia 58 3 3 2" xfId="4432" xr:uid="{00000000-0005-0000-0000-0000190F0000}"/>
    <cellStyle name="Migliaia 58 3 3 3" xfId="6327" xr:uid="{00000000-0005-0000-0000-00001A0F0000}"/>
    <cellStyle name="Migliaia 58 3 3 4" xfId="6328" xr:uid="{00000000-0005-0000-0000-00001B0F0000}"/>
    <cellStyle name="Migliaia 58 3 3 5" xfId="6329" xr:uid="{00000000-0005-0000-0000-00001C0F0000}"/>
    <cellStyle name="Migliaia 58 3 4" xfId="4431" xr:uid="{00000000-0005-0000-0000-00001D0F0000}"/>
    <cellStyle name="Migliaia 58 3 5" xfId="3691" xr:uid="{00000000-0005-0000-0000-00001E0F0000}"/>
    <cellStyle name="Migliaia 58 3 6" xfId="6330" xr:uid="{00000000-0005-0000-0000-00001F0F0000}"/>
    <cellStyle name="Migliaia 58 3 7" xfId="6331" xr:uid="{00000000-0005-0000-0000-0000200F0000}"/>
    <cellStyle name="Migliaia 58 4" xfId="847" xr:uid="{00000000-0005-0000-0000-0000210F0000}"/>
    <cellStyle name="Migliaia 58 4 2" xfId="2435" xr:uid="{00000000-0005-0000-0000-0000220F0000}"/>
    <cellStyle name="Migliaia 58 4 2 2" xfId="4434" xr:uid="{00000000-0005-0000-0000-0000230F0000}"/>
    <cellStyle name="Migliaia 58 4 2 3" xfId="3695" xr:uid="{00000000-0005-0000-0000-0000240F0000}"/>
    <cellStyle name="Migliaia 58 4 3" xfId="4433" xr:uid="{00000000-0005-0000-0000-0000250F0000}"/>
    <cellStyle name="Migliaia 58 4 4" xfId="3694" xr:uid="{00000000-0005-0000-0000-0000260F0000}"/>
    <cellStyle name="Migliaia 58 4 5" xfId="6332" xr:uid="{00000000-0005-0000-0000-0000270F0000}"/>
    <cellStyle name="Migliaia 58 4 6" xfId="6333" xr:uid="{00000000-0005-0000-0000-0000280F0000}"/>
    <cellStyle name="Migliaia 58 5" xfId="848" xr:uid="{00000000-0005-0000-0000-0000290F0000}"/>
    <cellStyle name="Migliaia 58 5 2" xfId="3696" xr:uid="{00000000-0005-0000-0000-00002A0F0000}"/>
    <cellStyle name="Migliaia 58 5 3" xfId="6334" xr:uid="{00000000-0005-0000-0000-00002B0F0000}"/>
    <cellStyle name="Migliaia 58 5 4" xfId="6335" xr:uid="{00000000-0005-0000-0000-00002C0F0000}"/>
    <cellStyle name="Migliaia 58 5 5" xfId="6336" xr:uid="{00000000-0005-0000-0000-00002D0F0000}"/>
    <cellStyle name="Migliaia 58 6" xfId="849" xr:uid="{00000000-0005-0000-0000-00002E0F0000}"/>
    <cellStyle name="Migliaia 58 6 2" xfId="3222" xr:uid="{00000000-0005-0000-0000-00002F0F0000}"/>
    <cellStyle name="Migliaia 58 7" xfId="1933" xr:uid="{00000000-0005-0000-0000-0000300F0000}"/>
    <cellStyle name="Migliaia 58 8" xfId="6337" xr:uid="{00000000-0005-0000-0000-0000310F0000}"/>
    <cellStyle name="Migliaia 58 9" xfId="6338" xr:uid="{00000000-0005-0000-0000-0000320F0000}"/>
    <cellStyle name="Migliaia 59" xfId="850" xr:uid="{00000000-0005-0000-0000-0000330F0000}"/>
    <cellStyle name="Migliaia 59 2" xfId="851" xr:uid="{00000000-0005-0000-0000-0000340F0000}"/>
    <cellStyle name="Migliaia 59 2 2" xfId="2436" xr:uid="{00000000-0005-0000-0000-0000350F0000}"/>
    <cellStyle name="Migliaia 59 2 2 2" xfId="4435" xr:uid="{00000000-0005-0000-0000-0000360F0000}"/>
    <cellStyle name="Migliaia 59 2 3" xfId="3289" xr:uid="{00000000-0005-0000-0000-0000370F0000}"/>
    <cellStyle name="Migliaia 59 2 4" xfId="6339" xr:uid="{00000000-0005-0000-0000-0000380F0000}"/>
    <cellStyle name="Migliaia 59 2 5" xfId="6340" xr:uid="{00000000-0005-0000-0000-0000390F0000}"/>
    <cellStyle name="Migliaia 59 3" xfId="852" xr:uid="{00000000-0005-0000-0000-00003A0F0000}"/>
    <cellStyle name="Migliaia 59 3 2" xfId="853" xr:uid="{00000000-0005-0000-0000-00003B0F0000}"/>
    <cellStyle name="Migliaia 59 3 2 2" xfId="2438" xr:uid="{00000000-0005-0000-0000-00003C0F0000}"/>
    <cellStyle name="Migliaia 59 3 2 3" xfId="3698" xr:uid="{00000000-0005-0000-0000-00003D0F0000}"/>
    <cellStyle name="Migliaia 59 3 2 4" xfId="2437" xr:uid="{00000000-0005-0000-0000-00003E0F0000}"/>
    <cellStyle name="Migliaia 59 3 2 5" xfId="6341" xr:uid="{00000000-0005-0000-0000-00003F0F0000}"/>
    <cellStyle name="Migliaia 59 3 3" xfId="3699" xr:uid="{00000000-0005-0000-0000-0000400F0000}"/>
    <cellStyle name="Migliaia 59 3 3 2" xfId="4437" xr:uid="{00000000-0005-0000-0000-0000410F0000}"/>
    <cellStyle name="Migliaia 59 3 3 3" xfId="6342" xr:uid="{00000000-0005-0000-0000-0000420F0000}"/>
    <cellStyle name="Migliaia 59 3 3 4" xfId="6343" xr:uid="{00000000-0005-0000-0000-0000430F0000}"/>
    <cellStyle name="Migliaia 59 3 3 5" xfId="6344" xr:uid="{00000000-0005-0000-0000-0000440F0000}"/>
    <cellStyle name="Migliaia 59 3 4" xfId="4436" xr:uid="{00000000-0005-0000-0000-0000450F0000}"/>
    <cellStyle name="Migliaia 59 3 5" xfId="3697" xr:uid="{00000000-0005-0000-0000-0000460F0000}"/>
    <cellStyle name="Migliaia 59 3 6" xfId="6345" xr:uid="{00000000-0005-0000-0000-0000470F0000}"/>
    <cellStyle name="Migliaia 59 3 7" xfId="6346" xr:uid="{00000000-0005-0000-0000-0000480F0000}"/>
    <cellStyle name="Migliaia 59 4" xfId="854" xr:uid="{00000000-0005-0000-0000-0000490F0000}"/>
    <cellStyle name="Migliaia 59 4 2" xfId="2439" xr:uid="{00000000-0005-0000-0000-00004A0F0000}"/>
    <cellStyle name="Migliaia 59 4 2 2" xfId="4439" xr:uid="{00000000-0005-0000-0000-00004B0F0000}"/>
    <cellStyle name="Migliaia 59 4 2 3" xfId="3701" xr:uid="{00000000-0005-0000-0000-00004C0F0000}"/>
    <cellStyle name="Migliaia 59 4 3" xfId="4438" xr:uid="{00000000-0005-0000-0000-00004D0F0000}"/>
    <cellStyle name="Migliaia 59 4 4" xfId="3700" xr:uid="{00000000-0005-0000-0000-00004E0F0000}"/>
    <cellStyle name="Migliaia 59 4 5" xfId="6347" xr:uid="{00000000-0005-0000-0000-00004F0F0000}"/>
    <cellStyle name="Migliaia 59 4 6" xfId="6348" xr:uid="{00000000-0005-0000-0000-0000500F0000}"/>
    <cellStyle name="Migliaia 59 5" xfId="855" xr:uid="{00000000-0005-0000-0000-0000510F0000}"/>
    <cellStyle name="Migliaia 59 5 2" xfId="3702" xr:uid="{00000000-0005-0000-0000-0000520F0000}"/>
    <cellStyle name="Migliaia 59 5 3" xfId="6349" xr:uid="{00000000-0005-0000-0000-0000530F0000}"/>
    <cellStyle name="Migliaia 59 5 4" xfId="6350" xr:uid="{00000000-0005-0000-0000-0000540F0000}"/>
    <cellStyle name="Migliaia 59 5 5" xfId="6351" xr:uid="{00000000-0005-0000-0000-0000550F0000}"/>
    <cellStyle name="Migliaia 59 6" xfId="856" xr:uid="{00000000-0005-0000-0000-0000560F0000}"/>
    <cellStyle name="Migliaia 59 6 2" xfId="3223" xr:uid="{00000000-0005-0000-0000-0000570F0000}"/>
    <cellStyle name="Migliaia 59 7" xfId="1934" xr:uid="{00000000-0005-0000-0000-0000580F0000}"/>
    <cellStyle name="Migliaia 59 8" xfId="6352" xr:uid="{00000000-0005-0000-0000-0000590F0000}"/>
    <cellStyle name="Migliaia 59 9" xfId="6353" xr:uid="{00000000-0005-0000-0000-00005A0F0000}"/>
    <cellStyle name="Migliaia 6" xfId="857" xr:uid="{00000000-0005-0000-0000-00005B0F0000}"/>
    <cellStyle name="Migliaia 6 2" xfId="858" xr:uid="{00000000-0005-0000-0000-00005C0F0000}"/>
    <cellStyle name="Migliaia 6 2 2" xfId="2440" xr:uid="{00000000-0005-0000-0000-00005D0F0000}"/>
    <cellStyle name="Migliaia 6 2 2 2" xfId="4440" xr:uid="{00000000-0005-0000-0000-00005E0F0000}"/>
    <cellStyle name="Migliaia 6 2 3" xfId="3290" xr:uid="{00000000-0005-0000-0000-00005F0F0000}"/>
    <cellStyle name="Migliaia 6 2 4" xfId="6354" xr:uid="{00000000-0005-0000-0000-0000600F0000}"/>
    <cellStyle name="Migliaia 6 2 5" xfId="6355" xr:uid="{00000000-0005-0000-0000-0000610F0000}"/>
    <cellStyle name="Migliaia 6 3" xfId="859" xr:uid="{00000000-0005-0000-0000-0000620F0000}"/>
    <cellStyle name="Migliaia 6 3 2" xfId="860" xr:uid="{00000000-0005-0000-0000-0000630F0000}"/>
    <cellStyle name="Migliaia 6 3 2 2" xfId="2442" xr:uid="{00000000-0005-0000-0000-0000640F0000}"/>
    <cellStyle name="Migliaia 6 3 2 3" xfId="3704" xr:uid="{00000000-0005-0000-0000-0000650F0000}"/>
    <cellStyle name="Migliaia 6 3 2 4" xfId="2441" xr:uid="{00000000-0005-0000-0000-0000660F0000}"/>
    <cellStyle name="Migliaia 6 3 2 5" xfId="6356" xr:uid="{00000000-0005-0000-0000-0000670F0000}"/>
    <cellStyle name="Migliaia 6 3 3" xfId="3705" xr:uid="{00000000-0005-0000-0000-0000680F0000}"/>
    <cellStyle name="Migliaia 6 3 3 2" xfId="4442" xr:uid="{00000000-0005-0000-0000-0000690F0000}"/>
    <cellStyle name="Migliaia 6 3 3 3" xfId="6357" xr:uid="{00000000-0005-0000-0000-00006A0F0000}"/>
    <cellStyle name="Migliaia 6 3 3 4" xfId="6358" xr:uid="{00000000-0005-0000-0000-00006B0F0000}"/>
    <cellStyle name="Migliaia 6 3 3 5" xfId="6359" xr:uid="{00000000-0005-0000-0000-00006C0F0000}"/>
    <cellStyle name="Migliaia 6 3 4" xfId="4441" xr:uid="{00000000-0005-0000-0000-00006D0F0000}"/>
    <cellStyle name="Migliaia 6 3 5" xfId="3703" xr:uid="{00000000-0005-0000-0000-00006E0F0000}"/>
    <cellStyle name="Migliaia 6 3 6" xfId="6360" xr:uid="{00000000-0005-0000-0000-00006F0F0000}"/>
    <cellStyle name="Migliaia 6 3 7" xfId="6361" xr:uid="{00000000-0005-0000-0000-0000700F0000}"/>
    <cellStyle name="Migliaia 6 4" xfId="861" xr:uid="{00000000-0005-0000-0000-0000710F0000}"/>
    <cellStyle name="Migliaia 6 4 2" xfId="2443" xr:uid="{00000000-0005-0000-0000-0000720F0000}"/>
    <cellStyle name="Migliaia 6 4 2 2" xfId="4444" xr:uid="{00000000-0005-0000-0000-0000730F0000}"/>
    <cellStyle name="Migliaia 6 4 2 3" xfId="3707" xr:uid="{00000000-0005-0000-0000-0000740F0000}"/>
    <cellStyle name="Migliaia 6 4 3" xfId="4443" xr:uid="{00000000-0005-0000-0000-0000750F0000}"/>
    <cellStyle name="Migliaia 6 4 4" xfId="3706" xr:uid="{00000000-0005-0000-0000-0000760F0000}"/>
    <cellStyle name="Migliaia 6 4 5" xfId="6362" xr:uid="{00000000-0005-0000-0000-0000770F0000}"/>
    <cellStyle name="Migliaia 6 4 6" xfId="6363" xr:uid="{00000000-0005-0000-0000-0000780F0000}"/>
    <cellStyle name="Migliaia 6 5" xfId="862" xr:uid="{00000000-0005-0000-0000-0000790F0000}"/>
    <cellStyle name="Migliaia 6 5 2" xfId="3708" xr:uid="{00000000-0005-0000-0000-00007A0F0000}"/>
    <cellStyle name="Migliaia 6 5 3" xfId="6364" xr:uid="{00000000-0005-0000-0000-00007B0F0000}"/>
    <cellStyle name="Migliaia 6 5 4" xfId="6365" xr:uid="{00000000-0005-0000-0000-00007C0F0000}"/>
    <cellStyle name="Migliaia 6 5 5" xfId="6366" xr:uid="{00000000-0005-0000-0000-00007D0F0000}"/>
    <cellStyle name="Migliaia 6 6" xfId="863" xr:uid="{00000000-0005-0000-0000-00007E0F0000}"/>
    <cellStyle name="Migliaia 6 6 2" xfId="3224" xr:uid="{00000000-0005-0000-0000-00007F0F0000}"/>
    <cellStyle name="Migliaia 6 7" xfId="1935" xr:uid="{00000000-0005-0000-0000-0000800F0000}"/>
    <cellStyle name="Migliaia 6 8" xfId="6367" xr:uid="{00000000-0005-0000-0000-0000810F0000}"/>
    <cellStyle name="Migliaia 6 9" xfId="6368" xr:uid="{00000000-0005-0000-0000-0000820F0000}"/>
    <cellStyle name="Migliaia 60" xfId="864" xr:uid="{00000000-0005-0000-0000-0000830F0000}"/>
    <cellStyle name="Migliaia 60 2" xfId="865" xr:uid="{00000000-0005-0000-0000-0000840F0000}"/>
    <cellStyle name="Migliaia 60 2 2" xfId="2444" xr:uid="{00000000-0005-0000-0000-0000850F0000}"/>
    <cellStyle name="Migliaia 60 2 2 2" xfId="4445" xr:uid="{00000000-0005-0000-0000-0000860F0000}"/>
    <cellStyle name="Migliaia 60 2 3" xfId="3291" xr:uid="{00000000-0005-0000-0000-0000870F0000}"/>
    <cellStyle name="Migliaia 60 2 4" xfId="6369" xr:uid="{00000000-0005-0000-0000-0000880F0000}"/>
    <cellStyle name="Migliaia 60 2 5" xfId="6370" xr:uid="{00000000-0005-0000-0000-0000890F0000}"/>
    <cellStyle name="Migliaia 60 3" xfId="866" xr:uid="{00000000-0005-0000-0000-00008A0F0000}"/>
    <cellStyle name="Migliaia 60 3 2" xfId="867" xr:uid="{00000000-0005-0000-0000-00008B0F0000}"/>
    <cellStyle name="Migliaia 60 3 2 2" xfId="2446" xr:uid="{00000000-0005-0000-0000-00008C0F0000}"/>
    <cellStyle name="Migliaia 60 3 2 3" xfId="3710" xr:uid="{00000000-0005-0000-0000-00008D0F0000}"/>
    <cellStyle name="Migliaia 60 3 2 4" xfId="2445" xr:uid="{00000000-0005-0000-0000-00008E0F0000}"/>
    <cellStyle name="Migliaia 60 3 2 5" xfId="6371" xr:uid="{00000000-0005-0000-0000-00008F0F0000}"/>
    <cellStyle name="Migliaia 60 3 3" xfId="3711" xr:uid="{00000000-0005-0000-0000-0000900F0000}"/>
    <cellStyle name="Migliaia 60 3 3 2" xfId="4447" xr:uid="{00000000-0005-0000-0000-0000910F0000}"/>
    <cellStyle name="Migliaia 60 3 3 3" xfId="6372" xr:uid="{00000000-0005-0000-0000-0000920F0000}"/>
    <cellStyle name="Migliaia 60 3 3 4" xfId="6373" xr:uid="{00000000-0005-0000-0000-0000930F0000}"/>
    <cellStyle name="Migliaia 60 3 3 5" xfId="6374" xr:uid="{00000000-0005-0000-0000-0000940F0000}"/>
    <cellStyle name="Migliaia 60 3 4" xfId="4446" xr:uid="{00000000-0005-0000-0000-0000950F0000}"/>
    <cellStyle name="Migliaia 60 3 5" xfId="3709" xr:uid="{00000000-0005-0000-0000-0000960F0000}"/>
    <cellStyle name="Migliaia 60 3 6" xfId="6375" xr:uid="{00000000-0005-0000-0000-0000970F0000}"/>
    <cellStyle name="Migliaia 60 3 7" xfId="6376" xr:uid="{00000000-0005-0000-0000-0000980F0000}"/>
    <cellStyle name="Migliaia 60 4" xfId="868" xr:uid="{00000000-0005-0000-0000-0000990F0000}"/>
    <cellStyle name="Migliaia 60 4 2" xfId="2447" xr:uid="{00000000-0005-0000-0000-00009A0F0000}"/>
    <cellStyle name="Migliaia 60 4 2 2" xfId="4449" xr:uid="{00000000-0005-0000-0000-00009B0F0000}"/>
    <cellStyle name="Migliaia 60 4 2 3" xfId="3713" xr:uid="{00000000-0005-0000-0000-00009C0F0000}"/>
    <cellStyle name="Migliaia 60 4 3" xfId="4448" xr:uid="{00000000-0005-0000-0000-00009D0F0000}"/>
    <cellStyle name="Migliaia 60 4 4" xfId="3712" xr:uid="{00000000-0005-0000-0000-00009E0F0000}"/>
    <cellStyle name="Migliaia 60 4 5" xfId="6377" xr:uid="{00000000-0005-0000-0000-00009F0F0000}"/>
    <cellStyle name="Migliaia 60 4 6" xfId="6378" xr:uid="{00000000-0005-0000-0000-0000A00F0000}"/>
    <cellStyle name="Migliaia 60 5" xfId="869" xr:uid="{00000000-0005-0000-0000-0000A10F0000}"/>
    <cellStyle name="Migliaia 60 5 2" xfId="3714" xr:uid="{00000000-0005-0000-0000-0000A20F0000}"/>
    <cellStyle name="Migliaia 60 5 3" xfId="6379" xr:uid="{00000000-0005-0000-0000-0000A30F0000}"/>
    <cellStyle name="Migliaia 60 5 4" xfId="6380" xr:uid="{00000000-0005-0000-0000-0000A40F0000}"/>
    <cellStyle name="Migliaia 60 5 5" xfId="6381" xr:uid="{00000000-0005-0000-0000-0000A50F0000}"/>
    <cellStyle name="Migliaia 60 6" xfId="870" xr:uid="{00000000-0005-0000-0000-0000A60F0000}"/>
    <cellStyle name="Migliaia 60 6 2" xfId="3225" xr:uid="{00000000-0005-0000-0000-0000A70F0000}"/>
    <cellStyle name="Migliaia 60 7" xfId="1936" xr:uid="{00000000-0005-0000-0000-0000A80F0000}"/>
    <cellStyle name="Migliaia 60 8" xfId="6382" xr:uid="{00000000-0005-0000-0000-0000A90F0000}"/>
    <cellStyle name="Migliaia 60 9" xfId="6383" xr:uid="{00000000-0005-0000-0000-0000AA0F0000}"/>
    <cellStyle name="Migliaia 61" xfId="871" xr:uid="{00000000-0005-0000-0000-0000AB0F0000}"/>
    <cellStyle name="Migliaia 61 2" xfId="872" xr:uid="{00000000-0005-0000-0000-0000AC0F0000}"/>
    <cellStyle name="Migliaia 61 2 2" xfId="2448" xr:uid="{00000000-0005-0000-0000-0000AD0F0000}"/>
    <cellStyle name="Migliaia 61 2 2 2" xfId="4450" xr:uid="{00000000-0005-0000-0000-0000AE0F0000}"/>
    <cellStyle name="Migliaia 61 2 3" xfId="3292" xr:uid="{00000000-0005-0000-0000-0000AF0F0000}"/>
    <cellStyle name="Migliaia 61 2 4" xfId="6384" xr:uid="{00000000-0005-0000-0000-0000B00F0000}"/>
    <cellStyle name="Migliaia 61 2 5" xfId="6385" xr:uid="{00000000-0005-0000-0000-0000B10F0000}"/>
    <cellStyle name="Migliaia 61 3" xfId="873" xr:uid="{00000000-0005-0000-0000-0000B20F0000}"/>
    <cellStyle name="Migliaia 61 3 2" xfId="874" xr:uid="{00000000-0005-0000-0000-0000B30F0000}"/>
    <cellStyle name="Migliaia 61 3 2 2" xfId="2450" xr:uid="{00000000-0005-0000-0000-0000B40F0000}"/>
    <cellStyle name="Migliaia 61 3 2 3" xfId="3716" xr:uid="{00000000-0005-0000-0000-0000B50F0000}"/>
    <cellStyle name="Migliaia 61 3 2 4" xfId="2449" xr:uid="{00000000-0005-0000-0000-0000B60F0000}"/>
    <cellStyle name="Migliaia 61 3 2 5" xfId="6386" xr:uid="{00000000-0005-0000-0000-0000B70F0000}"/>
    <cellStyle name="Migliaia 61 3 3" xfId="3717" xr:uid="{00000000-0005-0000-0000-0000B80F0000}"/>
    <cellStyle name="Migliaia 61 3 3 2" xfId="4452" xr:uid="{00000000-0005-0000-0000-0000B90F0000}"/>
    <cellStyle name="Migliaia 61 3 3 3" xfId="6387" xr:uid="{00000000-0005-0000-0000-0000BA0F0000}"/>
    <cellStyle name="Migliaia 61 3 3 4" xfId="6388" xr:uid="{00000000-0005-0000-0000-0000BB0F0000}"/>
    <cellStyle name="Migliaia 61 3 3 5" xfId="6389" xr:uid="{00000000-0005-0000-0000-0000BC0F0000}"/>
    <cellStyle name="Migliaia 61 3 4" xfId="4451" xr:uid="{00000000-0005-0000-0000-0000BD0F0000}"/>
    <cellStyle name="Migliaia 61 3 5" xfId="3715" xr:uid="{00000000-0005-0000-0000-0000BE0F0000}"/>
    <cellStyle name="Migliaia 61 3 6" xfId="6390" xr:uid="{00000000-0005-0000-0000-0000BF0F0000}"/>
    <cellStyle name="Migliaia 61 3 7" xfId="6391" xr:uid="{00000000-0005-0000-0000-0000C00F0000}"/>
    <cellStyle name="Migliaia 61 4" xfId="875" xr:uid="{00000000-0005-0000-0000-0000C10F0000}"/>
    <cellStyle name="Migliaia 61 4 2" xfId="2451" xr:uid="{00000000-0005-0000-0000-0000C20F0000}"/>
    <cellStyle name="Migliaia 61 4 2 2" xfId="4454" xr:uid="{00000000-0005-0000-0000-0000C30F0000}"/>
    <cellStyle name="Migliaia 61 4 2 3" xfId="3719" xr:uid="{00000000-0005-0000-0000-0000C40F0000}"/>
    <cellStyle name="Migliaia 61 4 3" xfId="4453" xr:uid="{00000000-0005-0000-0000-0000C50F0000}"/>
    <cellStyle name="Migliaia 61 4 4" xfId="3718" xr:uid="{00000000-0005-0000-0000-0000C60F0000}"/>
    <cellStyle name="Migliaia 61 4 5" xfId="6392" xr:uid="{00000000-0005-0000-0000-0000C70F0000}"/>
    <cellStyle name="Migliaia 61 4 6" xfId="6393" xr:uid="{00000000-0005-0000-0000-0000C80F0000}"/>
    <cellStyle name="Migliaia 61 5" xfId="876" xr:uid="{00000000-0005-0000-0000-0000C90F0000}"/>
    <cellStyle name="Migliaia 61 5 2" xfId="3720" xr:uid="{00000000-0005-0000-0000-0000CA0F0000}"/>
    <cellStyle name="Migliaia 61 5 3" xfId="6394" xr:uid="{00000000-0005-0000-0000-0000CB0F0000}"/>
    <cellStyle name="Migliaia 61 5 4" xfId="6395" xr:uid="{00000000-0005-0000-0000-0000CC0F0000}"/>
    <cellStyle name="Migliaia 61 5 5" xfId="6396" xr:uid="{00000000-0005-0000-0000-0000CD0F0000}"/>
    <cellStyle name="Migliaia 61 6" xfId="877" xr:uid="{00000000-0005-0000-0000-0000CE0F0000}"/>
    <cellStyle name="Migliaia 61 6 2" xfId="3226" xr:uid="{00000000-0005-0000-0000-0000CF0F0000}"/>
    <cellStyle name="Migliaia 61 7" xfId="1937" xr:uid="{00000000-0005-0000-0000-0000D00F0000}"/>
    <cellStyle name="Migliaia 61 8" xfId="6397" xr:uid="{00000000-0005-0000-0000-0000D10F0000}"/>
    <cellStyle name="Migliaia 61 9" xfId="6398" xr:uid="{00000000-0005-0000-0000-0000D20F0000}"/>
    <cellStyle name="Migliaia 7" xfId="878" xr:uid="{00000000-0005-0000-0000-0000D30F0000}"/>
    <cellStyle name="Migliaia 7 2" xfId="879" xr:uid="{00000000-0005-0000-0000-0000D40F0000}"/>
    <cellStyle name="Migliaia 7 2 2" xfId="2452" xr:uid="{00000000-0005-0000-0000-0000D50F0000}"/>
    <cellStyle name="Migliaia 7 2 2 2" xfId="4455" xr:uid="{00000000-0005-0000-0000-0000D60F0000}"/>
    <cellStyle name="Migliaia 7 2 3" xfId="3293" xr:uid="{00000000-0005-0000-0000-0000D70F0000}"/>
    <cellStyle name="Migliaia 7 2 4" xfId="6399" xr:uid="{00000000-0005-0000-0000-0000D80F0000}"/>
    <cellStyle name="Migliaia 7 2 5" xfId="6400" xr:uid="{00000000-0005-0000-0000-0000D90F0000}"/>
    <cellStyle name="Migliaia 7 3" xfId="880" xr:uid="{00000000-0005-0000-0000-0000DA0F0000}"/>
    <cellStyle name="Migliaia 7 3 2" xfId="881" xr:uid="{00000000-0005-0000-0000-0000DB0F0000}"/>
    <cellStyle name="Migliaia 7 3 2 2" xfId="2454" xr:uid="{00000000-0005-0000-0000-0000DC0F0000}"/>
    <cellStyle name="Migliaia 7 3 2 3" xfId="3722" xr:uid="{00000000-0005-0000-0000-0000DD0F0000}"/>
    <cellStyle name="Migliaia 7 3 2 4" xfId="2453" xr:uid="{00000000-0005-0000-0000-0000DE0F0000}"/>
    <cellStyle name="Migliaia 7 3 2 5" xfId="6401" xr:uid="{00000000-0005-0000-0000-0000DF0F0000}"/>
    <cellStyle name="Migliaia 7 3 3" xfId="3723" xr:uid="{00000000-0005-0000-0000-0000E00F0000}"/>
    <cellStyle name="Migliaia 7 3 3 2" xfId="4457" xr:uid="{00000000-0005-0000-0000-0000E10F0000}"/>
    <cellStyle name="Migliaia 7 3 3 3" xfId="6402" xr:uid="{00000000-0005-0000-0000-0000E20F0000}"/>
    <cellStyle name="Migliaia 7 3 3 4" xfId="6403" xr:uid="{00000000-0005-0000-0000-0000E30F0000}"/>
    <cellStyle name="Migliaia 7 3 3 5" xfId="6404" xr:uid="{00000000-0005-0000-0000-0000E40F0000}"/>
    <cellStyle name="Migliaia 7 3 4" xfId="4456" xr:uid="{00000000-0005-0000-0000-0000E50F0000}"/>
    <cellStyle name="Migliaia 7 3 5" xfId="3721" xr:uid="{00000000-0005-0000-0000-0000E60F0000}"/>
    <cellStyle name="Migliaia 7 3 6" xfId="6405" xr:uid="{00000000-0005-0000-0000-0000E70F0000}"/>
    <cellStyle name="Migliaia 7 3 7" xfId="6406" xr:uid="{00000000-0005-0000-0000-0000E80F0000}"/>
    <cellStyle name="Migliaia 7 4" xfId="882" xr:uid="{00000000-0005-0000-0000-0000E90F0000}"/>
    <cellStyle name="Migliaia 7 4 2" xfId="2455" xr:uid="{00000000-0005-0000-0000-0000EA0F0000}"/>
    <cellStyle name="Migliaia 7 4 2 2" xfId="4459" xr:uid="{00000000-0005-0000-0000-0000EB0F0000}"/>
    <cellStyle name="Migliaia 7 4 2 3" xfId="3725" xr:uid="{00000000-0005-0000-0000-0000EC0F0000}"/>
    <cellStyle name="Migliaia 7 4 3" xfId="4458" xr:uid="{00000000-0005-0000-0000-0000ED0F0000}"/>
    <cellStyle name="Migliaia 7 4 4" xfId="3724" xr:uid="{00000000-0005-0000-0000-0000EE0F0000}"/>
    <cellStyle name="Migliaia 7 4 5" xfId="6407" xr:uid="{00000000-0005-0000-0000-0000EF0F0000}"/>
    <cellStyle name="Migliaia 7 4 6" xfId="6408" xr:uid="{00000000-0005-0000-0000-0000F00F0000}"/>
    <cellStyle name="Migliaia 7 5" xfId="883" xr:uid="{00000000-0005-0000-0000-0000F10F0000}"/>
    <cellStyle name="Migliaia 7 5 2" xfId="3726" xr:uid="{00000000-0005-0000-0000-0000F20F0000}"/>
    <cellStyle name="Migliaia 7 5 3" xfId="6409" xr:uid="{00000000-0005-0000-0000-0000F30F0000}"/>
    <cellStyle name="Migliaia 7 5 4" xfId="6410" xr:uid="{00000000-0005-0000-0000-0000F40F0000}"/>
    <cellStyle name="Migliaia 7 5 5" xfId="6411" xr:uid="{00000000-0005-0000-0000-0000F50F0000}"/>
    <cellStyle name="Migliaia 7 6" xfId="884" xr:uid="{00000000-0005-0000-0000-0000F60F0000}"/>
    <cellStyle name="Migliaia 7 6 2" xfId="3227" xr:uid="{00000000-0005-0000-0000-0000F70F0000}"/>
    <cellStyle name="Migliaia 7 7" xfId="1938" xr:uid="{00000000-0005-0000-0000-0000F80F0000}"/>
    <cellStyle name="Migliaia 7 8" xfId="6412" xr:uid="{00000000-0005-0000-0000-0000F90F0000}"/>
    <cellStyle name="Migliaia 7 9" xfId="6413" xr:uid="{00000000-0005-0000-0000-0000FA0F0000}"/>
    <cellStyle name="Migliaia 8" xfId="885" xr:uid="{00000000-0005-0000-0000-0000FB0F0000}"/>
    <cellStyle name="Migliaia 8 2" xfId="886" xr:uid="{00000000-0005-0000-0000-0000FC0F0000}"/>
    <cellStyle name="Migliaia 8 2 2" xfId="2456" xr:uid="{00000000-0005-0000-0000-0000FD0F0000}"/>
    <cellStyle name="Migliaia 8 2 2 2" xfId="4460" xr:uid="{00000000-0005-0000-0000-0000FE0F0000}"/>
    <cellStyle name="Migliaia 8 2 3" xfId="3294" xr:uid="{00000000-0005-0000-0000-0000FF0F0000}"/>
    <cellStyle name="Migliaia 8 2 4" xfId="6414" xr:uid="{00000000-0005-0000-0000-000000100000}"/>
    <cellStyle name="Migliaia 8 2 5" xfId="6415" xr:uid="{00000000-0005-0000-0000-000001100000}"/>
    <cellStyle name="Migliaia 8 3" xfId="887" xr:uid="{00000000-0005-0000-0000-000002100000}"/>
    <cellStyle name="Migliaia 8 3 2" xfId="888" xr:uid="{00000000-0005-0000-0000-000003100000}"/>
    <cellStyle name="Migliaia 8 3 2 2" xfId="2458" xr:uid="{00000000-0005-0000-0000-000004100000}"/>
    <cellStyle name="Migliaia 8 3 2 3" xfId="3728" xr:uid="{00000000-0005-0000-0000-000005100000}"/>
    <cellStyle name="Migliaia 8 3 2 4" xfId="2457" xr:uid="{00000000-0005-0000-0000-000006100000}"/>
    <cellStyle name="Migliaia 8 3 2 5" xfId="6416" xr:uid="{00000000-0005-0000-0000-000007100000}"/>
    <cellStyle name="Migliaia 8 3 3" xfId="3729" xr:uid="{00000000-0005-0000-0000-000008100000}"/>
    <cellStyle name="Migliaia 8 3 3 2" xfId="4462" xr:uid="{00000000-0005-0000-0000-000009100000}"/>
    <cellStyle name="Migliaia 8 3 3 3" xfId="6417" xr:uid="{00000000-0005-0000-0000-00000A100000}"/>
    <cellStyle name="Migliaia 8 3 3 4" xfId="6418" xr:uid="{00000000-0005-0000-0000-00000B100000}"/>
    <cellStyle name="Migliaia 8 3 3 5" xfId="6419" xr:uid="{00000000-0005-0000-0000-00000C100000}"/>
    <cellStyle name="Migliaia 8 3 4" xfId="4461" xr:uid="{00000000-0005-0000-0000-00000D100000}"/>
    <cellStyle name="Migliaia 8 3 5" xfId="3727" xr:uid="{00000000-0005-0000-0000-00000E100000}"/>
    <cellStyle name="Migliaia 8 3 6" xfId="6420" xr:uid="{00000000-0005-0000-0000-00000F100000}"/>
    <cellStyle name="Migliaia 8 3 7" xfId="6421" xr:uid="{00000000-0005-0000-0000-000010100000}"/>
    <cellStyle name="Migliaia 8 4" xfId="889" xr:uid="{00000000-0005-0000-0000-000011100000}"/>
    <cellStyle name="Migliaia 8 4 2" xfId="2459" xr:uid="{00000000-0005-0000-0000-000012100000}"/>
    <cellStyle name="Migliaia 8 4 2 2" xfId="4464" xr:uid="{00000000-0005-0000-0000-000013100000}"/>
    <cellStyle name="Migliaia 8 4 2 3" xfId="3731" xr:uid="{00000000-0005-0000-0000-000014100000}"/>
    <cellStyle name="Migliaia 8 4 3" xfId="4463" xr:uid="{00000000-0005-0000-0000-000015100000}"/>
    <cellStyle name="Migliaia 8 4 4" xfId="3730" xr:uid="{00000000-0005-0000-0000-000016100000}"/>
    <cellStyle name="Migliaia 8 4 5" xfId="6422" xr:uid="{00000000-0005-0000-0000-000017100000}"/>
    <cellStyle name="Migliaia 8 4 6" xfId="6423" xr:uid="{00000000-0005-0000-0000-000018100000}"/>
    <cellStyle name="Migliaia 8 5" xfId="890" xr:uid="{00000000-0005-0000-0000-000019100000}"/>
    <cellStyle name="Migliaia 8 5 2" xfId="3732" xr:uid="{00000000-0005-0000-0000-00001A100000}"/>
    <cellStyle name="Migliaia 8 5 3" xfId="6424" xr:uid="{00000000-0005-0000-0000-00001B100000}"/>
    <cellStyle name="Migliaia 8 5 4" xfId="6425" xr:uid="{00000000-0005-0000-0000-00001C100000}"/>
    <cellStyle name="Migliaia 8 5 5" xfId="6426" xr:uid="{00000000-0005-0000-0000-00001D100000}"/>
    <cellStyle name="Migliaia 8 6" xfId="891" xr:uid="{00000000-0005-0000-0000-00001E100000}"/>
    <cellStyle name="Migliaia 8 6 2" xfId="3228" xr:uid="{00000000-0005-0000-0000-00001F100000}"/>
    <cellStyle name="Migliaia 8 7" xfId="1939" xr:uid="{00000000-0005-0000-0000-000020100000}"/>
    <cellStyle name="Migliaia 8 8" xfId="6427" xr:uid="{00000000-0005-0000-0000-000021100000}"/>
    <cellStyle name="Migliaia 8 9" xfId="6428" xr:uid="{00000000-0005-0000-0000-000022100000}"/>
    <cellStyle name="Migliaia 9" xfId="892" xr:uid="{00000000-0005-0000-0000-000023100000}"/>
    <cellStyle name="Migliaia 9 2" xfId="893" xr:uid="{00000000-0005-0000-0000-000024100000}"/>
    <cellStyle name="Migliaia 9 2 2" xfId="2460" xr:uid="{00000000-0005-0000-0000-000025100000}"/>
    <cellStyle name="Migliaia 9 2 2 2" xfId="4465" xr:uid="{00000000-0005-0000-0000-000026100000}"/>
    <cellStyle name="Migliaia 9 2 3" xfId="3295" xr:uid="{00000000-0005-0000-0000-000027100000}"/>
    <cellStyle name="Migliaia 9 2 4" xfId="6429" xr:uid="{00000000-0005-0000-0000-000028100000}"/>
    <cellStyle name="Migliaia 9 2 5" xfId="6430" xr:uid="{00000000-0005-0000-0000-000029100000}"/>
    <cellStyle name="Migliaia 9 3" xfId="894" xr:uid="{00000000-0005-0000-0000-00002A100000}"/>
    <cellStyle name="Migliaia 9 3 2" xfId="895" xr:uid="{00000000-0005-0000-0000-00002B100000}"/>
    <cellStyle name="Migliaia 9 3 2 2" xfId="2462" xr:uid="{00000000-0005-0000-0000-00002C100000}"/>
    <cellStyle name="Migliaia 9 3 2 3" xfId="3734" xr:uid="{00000000-0005-0000-0000-00002D100000}"/>
    <cellStyle name="Migliaia 9 3 2 4" xfId="2461" xr:uid="{00000000-0005-0000-0000-00002E100000}"/>
    <cellStyle name="Migliaia 9 3 2 5" xfId="6431" xr:uid="{00000000-0005-0000-0000-00002F100000}"/>
    <cellStyle name="Migliaia 9 3 3" xfId="3735" xr:uid="{00000000-0005-0000-0000-000030100000}"/>
    <cellStyle name="Migliaia 9 3 3 2" xfId="4467" xr:uid="{00000000-0005-0000-0000-000031100000}"/>
    <cellStyle name="Migliaia 9 3 3 3" xfId="6432" xr:uid="{00000000-0005-0000-0000-000032100000}"/>
    <cellStyle name="Migliaia 9 3 3 4" xfId="6433" xr:uid="{00000000-0005-0000-0000-000033100000}"/>
    <cellStyle name="Migliaia 9 3 3 5" xfId="6434" xr:uid="{00000000-0005-0000-0000-000034100000}"/>
    <cellStyle name="Migliaia 9 3 4" xfId="4466" xr:uid="{00000000-0005-0000-0000-000035100000}"/>
    <cellStyle name="Migliaia 9 3 5" xfId="3733" xr:uid="{00000000-0005-0000-0000-000036100000}"/>
    <cellStyle name="Migliaia 9 3 6" xfId="6435" xr:uid="{00000000-0005-0000-0000-000037100000}"/>
    <cellStyle name="Migliaia 9 3 7" xfId="6436" xr:uid="{00000000-0005-0000-0000-000038100000}"/>
    <cellStyle name="Migliaia 9 4" xfId="896" xr:uid="{00000000-0005-0000-0000-000039100000}"/>
    <cellStyle name="Migliaia 9 4 2" xfId="2463" xr:uid="{00000000-0005-0000-0000-00003A100000}"/>
    <cellStyle name="Migliaia 9 4 2 2" xfId="4469" xr:uid="{00000000-0005-0000-0000-00003B100000}"/>
    <cellStyle name="Migliaia 9 4 2 3" xfId="3737" xr:uid="{00000000-0005-0000-0000-00003C100000}"/>
    <cellStyle name="Migliaia 9 4 3" xfId="4468" xr:uid="{00000000-0005-0000-0000-00003D100000}"/>
    <cellStyle name="Migliaia 9 4 4" xfId="3736" xr:uid="{00000000-0005-0000-0000-00003E100000}"/>
    <cellStyle name="Migliaia 9 4 5" xfId="6437" xr:uid="{00000000-0005-0000-0000-00003F100000}"/>
    <cellStyle name="Migliaia 9 4 6" xfId="6438" xr:uid="{00000000-0005-0000-0000-000040100000}"/>
    <cellStyle name="Migliaia 9 5" xfId="897" xr:uid="{00000000-0005-0000-0000-000041100000}"/>
    <cellStyle name="Migliaia 9 5 2" xfId="3738" xr:uid="{00000000-0005-0000-0000-000042100000}"/>
    <cellStyle name="Migliaia 9 5 3" xfId="6439" xr:uid="{00000000-0005-0000-0000-000043100000}"/>
    <cellStyle name="Migliaia 9 5 4" xfId="6440" xr:uid="{00000000-0005-0000-0000-000044100000}"/>
    <cellStyle name="Migliaia 9 5 5" xfId="6441" xr:uid="{00000000-0005-0000-0000-000045100000}"/>
    <cellStyle name="Migliaia 9 6" xfId="898" xr:uid="{00000000-0005-0000-0000-000046100000}"/>
    <cellStyle name="Migliaia 9 6 2" xfId="3229" xr:uid="{00000000-0005-0000-0000-000047100000}"/>
    <cellStyle name="Migliaia 9 7" xfId="1940" xr:uid="{00000000-0005-0000-0000-000048100000}"/>
    <cellStyle name="Migliaia 9 8" xfId="6442" xr:uid="{00000000-0005-0000-0000-000049100000}"/>
    <cellStyle name="Migliaia 9 9" xfId="6443" xr:uid="{00000000-0005-0000-0000-00004A100000}"/>
    <cellStyle name="Neutral 2" xfId="899" xr:uid="{00000000-0005-0000-0000-00004B100000}"/>
    <cellStyle name="Neutral 2 2" xfId="3235" xr:uid="{00000000-0005-0000-0000-00004C100000}"/>
    <cellStyle name="Neutral 2 3" xfId="2464" xr:uid="{00000000-0005-0000-0000-00004D100000}"/>
    <cellStyle name="Neutrale" xfId="900" xr:uid="{00000000-0005-0000-0000-00004E100000}"/>
    <cellStyle name="Normal" xfId="0" builtinId="0"/>
    <cellStyle name="Normal 10" xfId="901" xr:uid="{00000000-0005-0000-0000-000050100000}"/>
    <cellStyle name="Normal 10 2" xfId="1954" xr:uid="{00000000-0005-0000-0000-000051100000}"/>
    <cellStyle name="Normal 10 2 2" xfId="2465" xr:uid="{00000000-0005-0000-0000-000052100000}"/>
    <cellStyle name="Normal 10 2 2 2" xfId="6444" xr:uid="{00000000-0005-0000-0000-000053100000}"/>
    <cellStyle name="Normal 10 2 3" xfId="6445" xr:uid="{00000000-0005-0000-0000-000054100000}"/>
    <cellStyle name="Normal 10 2 3 2" xfId="6446" xr:uid="{00000000-0005-0000-0000-000055100000}"/>
    <cellStyle name="Normal 10 2 4" xfId="6447" xr:uid="{00000000-0005-0000-0000-000056100000}"/>
    <cellStyle name="Normal 10 2 5" xfId="6448" xr:uid="{00000000-0005-0000-0000-000057100000}"/>
    <cellStyle name="Normal 10 3" xfId="6449" xr:uid="{00000000-0005-0000-0000-000058100000}"/>
    <cellStyle name="Normal 10 3 2" xfId="6450" xr:uid="{00000000-0005-0000-0000-000059100000}"/>
    <cellStyle name="Normal 10 3 3" xfId="6451" xr:uid="{00000000-0005-0000-0000-00005A100000}"/>
    <cellStyle name="Normal 10 4" xfId="6452" xr:uid="{00000000-0005-0000-0000-00005B100000}"/>
    <cellStyle name="Normal 10 4 2" xfId="6453" xr:uid="{00000000-0005-0000-0000-00005C100000}"/>
    <cellStyle name="Normal 10 5" xfId="6454" xr:uid="{00000000-0005-0000-0000-00005D100000}"/>
    <cellStyle name="Normal 10 5 2" xfId="6455" xr:uid="{00000000-0005-0000-0000-00005E100000}"/>
    <cellStyle name="Normal 10 6" xfId="6456" xr:uid="{00000000-0005-0000-0000-00005F100000}"/>
    <cellStyle name="Normal 10 7" xfId="6457" xr:uid="{00000000-0005-0000-0000-000060100000}"/>
    <cellStyle name="Normal 11" xfId="1949" xr:uid="{00000000-0005-0000-0000-000061100000}"/>
    <cellStyle name="Normal 11 2" xfId="5017" xr:uid="{00000000-0005-0000-0000-000062100000}"/>
    <cellStyle name="Normal 11 2 2" xfId="6458" xr:uid="{00000000-0005-0000-0000-000063100000}"/>
    <cellStyle name="Normal 11 2 2 2" xfId="6459" xr:uid="{00000000-0005-0000-0000-000064100000}"/>
    <cellStyle name="Normal 11 2 2 3" xfId="6460" xr:uid="{00000000-0005-0000-0000-000065100000}"/>
    <cellStyle name="Normal 11 2 3" xfId="6461" xr:uid="{00000000-0005-0000-0000-000066100000}"/>
    <cellStyle name="Normal 11 2 3 2" xfId="6462" xr:uid="{00000000-0005-0000-0000-000067100000}"/>
    <cellStyle name="Normal 11 2 4" xfId="6463" xr:uid="{00000000-0005-0000-0000-000068100000}"/>
    <cellStyle name="Normal 11 2 4 2" xfId="6464" xr:uid="{00000000-0005-0000-0000-000069100000}"/>
    <cellStyle name="Normal 11 2 5" xfId="6465" xr:uid="{00000000-0005-0000-0000-00006A100000}"/>
    <cellStyle name="Normal 11 2 6" xfId="6466" xr:uid="{00000000-0005-0000-0000-00006B100000}"/>
    <cellStyle name="Normal 11 3" xfId="3870" xr:uid="{00000000-0005-0000-0000-00006C100000}"/>
    <cellStyle name="Normal 11 3 2" xfId="6467" xr:uid="{00000000-0005-0000-0000-00006D100000}"/>
    <cellStyle name="Normal 11 3 2 2" xfId="6468" xr:uid="{00000000-0005-0000-0000-00006E100000}"/>
    <cellStyle name="Normal 11 3 3" xfId="6469" xr:uid="{00000000-0005-0000-0000-00006F100000}"/>
    <cellStyle name="Normal 11 3 3 2" xfId="6470" xr:uid="{00000000-0005-0000-0000-000070100000}"/>
    <cellStyle name="Normal 11 3 4" xfId="6471" xr:uid="{00000000-0005-0000-0000-000071100000}"/>
    <cellStyle name="Normal 11 3 5" xfId="6472" xr:uid="{00000000-0005-0000-0000-000072100000}"/>
    <cellStyle name="Normal 11 4" xfId="2466" xr:uid="{00000000-0005-0000-0000-000073100000}"/>
    <cellStyle name="Normal 11 4 2" xfId="6473" xr:uid="{00000000-0005-0000-0000-000074100000}"/>
    <cellStyle name="Normal 11 5" xfId="6474" xr:uid="{00000000-0005-0000-0000-000075100000}"/>
    <cellStyle name="Normal 11 5 2" xfId="6475" xr:uid="{00000000-0005-0000-0000-000076100000}"/>
    <cellStyle name="Normal 11 6" xfId="6476" xr:uid="{00000000-0005-0000-0000-000077100000}"/>
    <cellStyle name="Normal 11 6 2" xfId="6477" xr:uid="{00000000-0005-0000-0000-000078100000}"/>
    <cellStyle name="Normal 11 7" xfId="6478" xr:uid="{00000000-0005-0000-0000-000079100000}"/>
    <cellStyle name="Normal 11 8" xfId="6479" xr:uid="{00000000-0005-0000-0000-00007A100000}"/>
    <cellStyle name="Normal 11 9" xfId="5019" xr:uid="{00000000-0005-0000-0000-00007B100000}"/>
    <cellStyle name="Normal 12" xfId="1965" xr:uid="{00000000-0005-0000-0000-00007C100000}"/>
    <cellStyle name="Normal 12 2" xfId="2468" xr:uid="{00000000-0005-0000-0000-00007D100000}"/>
    <cellStyle name="Normal 12 2 2" xfId="6480" xr:uid="{00000000-0005-0000-0000-00007E100000}"/>
    <cellStyle name="Normal 12 2 2 2" xfId="6481" xr:uid="{00000000-0005-0000-0000-00007F100000}"/>
    <cellStyle name="Normal 12 2 3" xfId="6482" xr:uid="{00000000-0005-0000-0000-000080100000}"/>
    <cellStyle name="Normal 12 2 3 2" xfId="6483" xr:uid="{00000000-0005-0000-0000-000081100000}"/>
    <cellStyle name="Normal 12 2 4" xfId="6484" xr:uid="{00000000-0005-0000-0000-000082100000}"/>
    <cellStyle name="Normal 12 3" xfId="3872" xr:uid="{00000000-0005-0000-0000-000083100000}"/>
    <cellStyle name="Normal 12 3 2" xfId="6485" xr:uid="{00000000-0005-0000-0000-000084100000}"/>
    <cellStyle name="Normal 12 4" xfId="2467" xr:uid="{00000000-0005-0000-0000-000085100000}"/>
    <cellStyle name="Normal 12 4 2" xfId="6486" xr:uid="{00000000-0005-0000-0000-000086100000}"/>
    <cellStyle name="Normal 12 5" xfId="6487" xr:uid="{00000000-0005-0000-0000-000087100000}"/>
    <cellStyle name="Normal 12 5 2" xfId="6488" xr:uid="{00000000-0005-0000-0000-000088100000}"/>
    <cellStyle name="Normal 12 6" xfId="6489" xr:uid="{00000000-0005-0000-0000-000089100000}"/>
    <cellStyle name="Normal 12 7" xfId="6490" xr:uid="{00000000-0005-0000-0000-00008A100000}"/>
    <cellStyle name="Normal 13" xfId="2469" xr:uid="{00000000-0005-0000-0000-00008B100000}"/>
    <cellStyle name="Normal 13 2" xfId="6491" xr:uid="{00000000-0005-0000-0000-00008C100000}"/>
    <cellStyle name="Normal 13 2 2" xfId="6492" xr:uid="{00000000-0005-0000-0000-00008D100000}"/>
    <cellStyle name="Normal 13 2 2 2" xfId="6493" xr:uid="{00000000-0005-0000-0000-00008E100000}"/>
    <cellStyle name="Normal 13 2 3" xfId="6494" xr:uid="{00000000-0005-0000-0000-00008F100000}"/>
    <cellStyle name="Normal 13 2 3 2" xfId="6495" xr:uid="{00000000-0005-0000-0000-000090100000}"/>
    <cellStyle name="Normal 13 2 4" xfId="6496" xr:uid="{00000000-0005-0000-0000-000091100000}"/>
    <cellStyle name="Normal 13 3" xfId="6497" xr:uid="{00000000-0005-0000-0000-000092100000}"/>
    <cellStyle name="Normal 13 3 2" xfId="6498" xr:uid="{00000000-0005-0000-0000-000093100000}"/>
    <cellStyle name="Normal 13 4" xfId="6499" xr:uid="{00000000-0005-0000-0000-000094100000}"/>
    <cellStyle name="Normal 13 4 2" xfId="6500" xr:uid="{00000000-0005-0000-0000-000095100000}"/>
    <cellStyle name="Normal 13 5" xfId="6501" xr:uid="{00000000-0005-0000-0000-000096100000}"/>
    <cellStyle name="Normal 13 5 2" xfId="6502" xr:uid="{00000000-0005-0000-0000-000097100000}"/>
    <cellStyle name="Normal 13 6" xfId="6503" xr:uid="{00000000-0005-0000-0000-000098100000}"/>
    <cellStyle name="Normal 13 7" xfId="6504" xr:uid="{00000000-0005-0000-0000-000099100000}"/>
    <cellStyle name="Normal 14" xfId="2470" xr:uid="{00000000-0005-0000-0000-00009A100000}"/>
    <cellStyle name="Normal 14 2" xfId="6505" xr:uid="{00000000-0005-0000-0000-00009B100000}"/>
    <cellStyle name="Normal 15" xfId="2471" xr:uid="{00000000-0005-0000-0000-00009C100000}"/>
    <cellStyle name="Normal 15 2" xfId="6506" xr:uid="{00000000-0005-0000-0000-00009D100000}"/>
    <cellStyle name="Normal 15 2 2" xfId="6507" xr:uid="{00000000-0005-0000-0000-00009E100000}"/>
    <cellStyle name="Normal 15 2 2 2" xfId="6508" xr:uid="{00000000-0005-0000-0000-00009F100000}"/>
    <cellStyle name="Normal 15 2 2 2 2" xfId="6509" xr:uid="{00000000-0005-0000-0000-0000A0100000}"/>
    <cellStyle name="Normal 15 2 2 3" xfId="6510" xr:uid="{00000000-0005-0000-0000-0000A1100000}"/>
    <cellStyle name="Normal 15 2 2 3 2" xfId="6511" xr:uid="{00000000-0005-0000-0000-0000A2100000}"/>
    <cellStyle name="Normal 15 2 2 4" xfId="6512" xr:uid="{00000000-0005-0000-0000-0000A3100000}"/>
    <cellStyle name="Normal 15 2 2 4 2" xfId="6513" xr:uid="{00000000-0005-0000-0000-0000A4100000}"/>
    <cellStyle name="Normal 15 2 2 5" xfId="6514" xr:uid="{00000000-0005-0000-0000-0000A5100000}"/>
    <cellStyle name="Normal 15 2 3" xfId="6515" xr:uid="{00000000-0005-0000-0000-0000A6100000}"/>
    <cellStyle name="Normal 15 2 3 2" xfId="6516" xr:uid="{00000000-0005-0000-0000-0000A7100000}"/>
    <cellStyle name="Normal 15 2 3 2 2" xfId="6517" xr:uid="{00000000-0005-0000-0000-0000A8100000}"/>
    <cellStyle name="Normal 15 2 3 3" xfId="6518" xr:uid="{00000000-0005-0000-0000-0000A9100000}"/>
    <cellStyle name="Normal 15 2 3 3 2" xfId="6519" xr:uid="{00000000-0005-0000-0000-0000AA100000}"/>
    <cellStyle name="Normal 15 2 3 4" xfId="6520" xr:uid="{00000000-0005-0000-0000-0000AB100000}"/>
    <cellStyle name="Normal 15 2 3 4 2" xfId="6521" xr:uid="{00000000-0005-0000-0000-0000AC100000}"/>
    <cellStyle name="Normal 15 2 3 5" xfId="6522" xr:uid="{00000000-0005-0000-0000-0000AD100000}"/>
    <cellStyle name="Normal 15 3" xfId="6523" xr:uid="{00000000-0005-0000-0000-0000AE100000}"/>
    <cellStyle name="Normal 15 4" xfId="6524" xr:uid="{00000000-0005-0000-0000-0000AF100000}"/>
    <cellStyle name="Normal 15 4 2" xfId="6525" xr:uid="{00000000-0005-0000-0000-0000B0100000}"/>
    <cellStyle name="Normal 15 5" xfId="6526" xr:uid="{00000000-0005-0000-0000-0000B1100000}"/>
    <cellStyle name="Normal 15 5 2" xfId="6527" xr:uid="{00000000-0005-0000-0000-0000B2100000}"/>
    <cellStyle name="Normal 15 6" xfId="6528" xr:uid="{00000000-0005-0000-0000-0000B3100000}"/>
    <cellStyle name="Normal 15_Trends fuels" xfId="6529" xr:uid="{00000000-0005-0000-0000-0000B4100000}"/>
    <cellStyle name="Normal 16" xfId="2472" xr:uid="{00000000-0005-0000-0000-0000B5100000}"/>
    <cellStyle name="Normal 16 2" xfId="2473" xr:uid="{00000000-0005-0000-0000-0000B6100000}"/>
    <cellStyle name="Normal 16 2 2" xfId="6530" xr:uid="{00000000-0005-0000-0000-0000B7100000}"/>
    <cellStyle name="Normal 16 3" xfId="2474" xr:uid="{00000000-0005-0000-0000-0000B8100000}"/>
    <cellStyle name="Normal 16 3 2" xfId="6531" xr:uid="{00000000-0005-0000-0000-0000B9100000}"/>
    <cellStyle name="Normal 16 4" xfId="6532" xr:uid="{00000000-0005-0000-0000-0000BA100000}"/>
    <cellStyle name="Normal 16 4 2" xfId="6533" xr:uid="{00000000-0005-0000-0000-0000BB100000}"/>
    <cellStyle name="Normal 16 5" xfId="6534" xr:uid="{00000000-0005-0000-0000-0000BC100000}"/>
    <cellStyle name="Normal 17" xfId="2475" xr:uid="{00000000-0005-0000-0000-0000BD100000}"/>
    <cellStyle name="Normal 17 2" xfId="2476" xr:uid="{00000000-0005-0000-0000-0000BE100000}"/>
    <cellStyle name="Normal 17 2 2" xfId="6535" xr:uid="{00000000-0005-0000-0000-0000BF100000}"/>
    <cellStyle name="Normal 17 3" xfId="6536" xr:uid="{00000000-0005-0000-0000-0000C0100000}"/>
    <cellStyle name="Normal 17 3 2" xfId="6537" xr:uid="{00000000-0005-0000-0000-0000C1100000}"/>
    <cellStyle name="Normal 17 4" xfId="6538" xr:uid="{00000000-0005-0000-0000-0000C2100000}"/>
    <cellStyle name="Normal 17 4 2" xfId="6539" xr:uid="{00000000-0005-0000-0000-0000C3100000}"/>
    <cellStyle name="Normal 17 5" xfId="6540" xr:uid="{00000000-0005-0000-0000-0000C4100000}"/>
    <cellStyle name="Normal 18" xfId="2477" xr:uid="{00000000-0005-0000-0000-0000C5100000}"/>
    <cellStyle name="Normal 18 2" xfId="2478" xr:uid="{00000000-0005-0000-0000-0000C6100000}"/>
    <cellStyle name="Normal 18 2 2" xfId="6541" xr:uid="{00000000-0005-0000-0000-0000C7100000}"/>
    <cellStyle name="Normal 18 3" xfId="6542" xr:uid="{00000000-0005-0000-0000-0000C8100000}"/>
    <cellStyle name="Normal 18 3 2" xfId="6543" xr:uid="{00000000-0005-0000-0000-0000C9100000}"/>
    <cellStyle name="Normal 18 4" xfId="6544" xr:uid="{00000000-0005-0000-0000-0000CA100000}"/>
    <cellStyle name="Normal 18 4 2" xfId="6545" xr:uid="{00000000-0005-0000-0000-0000CB100000}"/>
    <cellStyle name="Normal 18 5" xfId="6546" xr:uid="{00000000-0005-0000-0000-0000CC100000}"/>
    <cellStyle name="Normal 19" xfId="2479" xr:uid="{00000000-0005-0000-0000-0000CD100000}"/>
    <cellStyle name="Normal 19 2" xfId="2480" xr:uid="{00000000-0005-0000-0000-0000CE100000}"/>
    <cellStyle name="Normal 19 2 2" xfId="6547" xr:uid="{00000000-0005-0000-0000-0000CF100000}"/>
    <cellStyle name="Normal 19 3" xfId="2481" xr:uid="{00000000-0005-0000-0000-0000D0100000}"/>
    <cellStyle name="Normal 2" xfId="902" xr:uid="{00000000-0005-0000-0000-0000D1100000}"/>
    <cellStyle name="Normal 2 10" xfId="6548" xr:uid="{00000000-0005-0000-0000-0000D2100000}"/>
    <cellStyle name="Normal 2 11" xfId="6549" xr:uid="{00000000-0005-0000-0000-0000D3100000}"/>
    <cellStyle name="Normal 2 11 2" xfId="6550" xr:uid="{00000000-0005-0000-0000-0000D4100000}"/>
    <cellStyle name="Normal 2 11 2 2" xfId="6551" xr:uid="{00000000-0005-0000-0000-0000D5100000}"/>
    <cellStyle name="Normal 2 11 2 2 2 3" xfId="8187" xr:uid="{00000000-0005-0000-0000-0000D6100000}"/>
    <cellStyle name="Normal 2 11 2 2 6" xfId="8186" xr:uid="{00000000-0005-0000-0000-0000D7100000}"/>
    <cellStyle name="Normal 2 11 3" xfId="6552" xr:uid="{00000000-0005-0000-0000-0000D8100000}"/>
    <cellStyle name="Normal 2 12" xfId="6553" xr:uid="{00000000-0005-0000-0000-0000D9100000}"/>
    <cellStyle name="Normal 2 12 2" xfId="6554" xr:uid="{00000000-0005-0000-0000-0000DA100000}"/>
    <cellStyle name="Normal 2 13" xfId="6555" xr:uid="{00000000-0005-0000-0000-0000DB100000}"/>
    <cellStyle name="Normal 2 13 2" xfId="6556" xr:uid="{00000000-0005-0000-0000-0000DC100000}"/>
    <cellStyle name="Normal 2 14" xfId="6557" xr:uid="{00000000-0005-0000-0000-0000DD100000}"/>
    <cellStyle name="Normal 2 14 2" xfId="6558" xr:uid="{00000000-0005-0000-0000-0000DE100000}"/>
    <cellStyle name="Normal 2 15" xfId="6559" xr:uid="{00000000-0005-0000-0000-0000DF100000}"/>
    <cellStyle name="Normal 2 19" xfId="8183" xr:uid="{00000000-0005-0000-0000-0000E0100000}"/>
    <cellStyle name="Normal 2 2" xfId="903" xr:uid="{00000000-0005-0000-0000-0000E1100000}"/>
    <cellStyle name="Normal 2 2 2" xfId="904" xr:uid="{00000000-0005-0000-0000-0000E2100000}"/>
    <cellStyle name="Normal 2 2 2 2" xfId="1945" xr:uid="{00000000-0005-0000-0000-0000E3100000}"/>
    <cellStyle name="Normal 2 2 2 2 2" xfId="2485" xr:uid="{00000000-0005-0000-0000-0000E4100000}"/>
    <cellStyle name="Normal 2 2 2 2 2 2" xfId="2486" xr:uid="{00000000-0005-0000-0000-0000E5100000}"/>
    <cellStyle name="Normal 2 2 2 2 3" xfId="2487" xr:uid="{00000000-0005-0000-0000-0000E6100000}"/>
    <cellStyle name="Normal 2 2 2 2 4" xfId="3740" xr:uid="{00000000-0005-0000-0000-0000E7100000}"/>
    <cellStyle name="Normal 2 2 2 2 5" xfId="2484" xr:uid="{00000000-0005-0000-0000-0000E8100000}"/>
    <cellStyle name="Normal 2 2 2 3" xfId="1959" xr:uid="{00000000-0005-0000-0000-0000E9100000}"/>
    <cellStyle name="Normal 2 2 2 3 2" xfId="4470" xr:uid="{00000000-0005-0000-0000-0000EA100000}"/>
    <cellStyle name="Normal 2 2 2 3 2 2" xfId="6560" xr:uid="{00000000-0005-0000-0000-0000EB100000}"/>
    <cellStyle name="Normal 2 2 2 3 3" xfId="6561" xr:uid="{00000000-0005-0000-0000-0000EC100000}"/>
    <cellStyle name="Normal 2 2 2 3 4" xfId="6562" xr:uid="{00000000-0005-0000-0000-0000ED100000}"/>
    <cellStyle name="Normal 2 2 2 4" xfId="3739" xr:uid="{00000000-0005-0000-0000-0000EE100000}"/>
    <cellStyle name="Normal 2 2 2 4 2" xfId="6563" xr:uid="{00000000-0005-0000-0000-0000EF100000}"/>
    <cellStyle name="Normal 2 2 2 4 3" xfId="6564" xr:uid="{00000000-0005-0000-0000-0000F0100000}"/>
    <cellStyle name="Normal 2 2 2 5" xfId="2483" xr:uid="{00000000-0005-0000-0000-0000F1100000}"/>
    <cellStyle name="Normal 2 2 2 5 2" xfId="6565" xr:uid="{00000000-0005-0000-0000-0000F2100000}"/>
    <cellStyle name="Normal 2 2 2 6" xfId="6566" xr:uid="{00000000-0005-0000-0000-0000F3100000}"/>
    <cellStyle name="Normal 2 2 2 7" xfId="6567" xr:uid="{00000000-0005-0000-0000-0000F4100000}"/>
    <cellStyle name="Normal 2 2 2 8" xfId="6568" xr:uid="{00000000-0005-0000-0000-0000F5100000}"/>
    <cellStyle name="Normal 2 2 3" xfId="905" xr:uid="{00000000-0005-0000-0000-0000F6100000}"/>
    <cellStyle name="Normal 2 2 3 2" xfId="2489" xr:uid="{00000000-0005-0000-0000-0000F7100000}"/>
    <cellStyle name="Normal 2 2 3 2 2" xfId="2490" xr:uid="{00000000-0005-0000-0000-0000F8100000}"/>
    <cellStyle name="Normal 2 2 3 3" xfId="2491" xr:uid="{00000000-0005-0000-0000-0000F9100000}"/>
    <cellStyle name="Normal 2 2 3 4" xfId="2488" xr:uid="{00000000-0005-0000-0000-0000FA100000}"/>
    <cellStyle name="Normal 2 2 3 5" xfId="6569" xr:uid="{00000000-0005-0000-0000-0000FB100000}"/>
    <cellStyle name="Normal 2 2 4" xfId="1941" xr:uid="{00000000-0005-0000-0000-0000FC100000}"/>
    <cellStyle name="Normal 2 2 4 2" xfId="2493" xr:uid="{00000000-0005-0000-0000-0000FD100000}"/>
    <cellStyle name="Normal 2 2 4 2 2" xfId="6570" xr:uid="{00000000-0005-0000-0000-0000FE100000}"/>
    <cellStyle name="Normal 2 2 4 3" xfId="2492" xr:uid="{00000000-0005-0000-0000-0000FF100000}"/>
    <cellStyle name="Normal 2 2 5" xfId="1955" xr:uid="{00000000-0005-0000-0000-000000110000}"/>
    <cellStyle name="Normal 2 2 5 2" xfId="2494" xr:uid="{00000000-0005-0000-0000-000001110000}"/>
    <cellStyle name="Normal 2 2 6" xfId="2482" xr:uid="{00000000-0005-0000-0000-000002110000}"/>
    <cellStyle name="Normal 2 2 6 2" xfId="6571" xr:uid="{00000000-0005-0000-0000-000003110000}"/>
    <cellStyle name="Normal 2 2 7" xfId="6572" xr:uid="{00000000-0005-0000-0000-000004110000}"/>
    <cellStyle name="Normal 2 2 8" xfId="6573" xr:uid="{00000000-0005-0000-0000-000005110000}"/>
    <cellStyle name="Normal 2 2 9" xfId="6574" xr:uid="{00000000-0005-0000-0000-000006110000}"/>
    <cellStyle name="Normal 2 3" xfId="906" xr:uid="{00000000-0005-0000-0000-000007110000}"/>
    <cellStyle name="Normal 2 3 2" xfId="3741" xr:uid="{00000000-0005-0000-0000-000008110000}"/>
    <cellStyle name="Normal 2 3 2 2" xfId="6575" xr:uid="{00000000-0005-0000-0000-000009110000}"/>
    <cellStyle name="Normal 2 3 2 2 2" xfId="6576" xr:uid="{00000000-0005-0000-0000-00000A110000}"/>
    <cellStyle name="Normal 2 3 2 3" xfId="6577" xr:uid="{00000000-0005-0000-0000-00000B110000}"/>
    <cellStyle name="Normal 2 3 2 3 2" xfId="6578" xr:uid="{00000000-0005-0000-0000-00000C110000}"/>
    <cellStyle name="Normal 2 3 2 4" xfId="6579" xr:uid="{00000000-0005-0000-0000-00000D110000}"/>
    <cellStyle name="Normal 2 3 3" xfId="2495" xr:uid="{00000000-0005-0000-0000-00000E110000}"/>
    <cellStyle name="Normal 2 3 3 2" xfId="6580" xr:uid="{00000000-0005-0000-0000-00000F110000}"/>
    <cellStyle name="Normal 2 3 4" xfId="6581" xr:uid="{00000000-0005-0000-0000-000010110000}"/>
    <cellStyle name="Normal 2 3 4 2" xfId="6582" xr:uid="{00000000-0005-0000-0000-000011110000}"/>
    <cellStyle name="Normal 2 3 5" xfId="6583" xr:uid="{00000000-0005-0000-0000-000012110000}"/>
    <cellStyle name="Normal 2 3 5 2" xfId="6584" xr:uid="{00000000-0005-0000-0000-000013110000}"/>
    <cellStyle name="Normal 2 3 6" xfId="6585" xr:uid="{00000000-0005-0000-0000-000014110000}"/>
    <cellStyle name="Normal 2 3 6 2" xfId="6586" xr:uid="{00000000-0005-0000-0000-000015110000}"/>
    <cellStyle name="Normal 2 3 7" xfId="6587" xr:uid="{00000000-0005-0000-0000-000016110000}"/>
    <cellStyle name="Normal 2 3 7 2" xfId="6588" xr:uid="{00000000-0005-0000-0000-000017110000}"/>
    <cellStyle name="Normal 2 3 8" xfId="6589" xr:uid="{00000000-0005-0000-0000-000018110000}"/>
    <cellStyle name="Normal 2 3 9" xfId="6590" xr:uid="{00000000-0005-0000-0000-000019110000}"/>
    <cellStyle name="Normal 2 4" xfId="1964" xr:uid="{00000000-0005-0000-0000-00001A110000}"/>
    <cellStyle name="Normal 2 4 2" xfId="2497" xr:uid="{00000000-0005-0000-0000-00001B110000}"/>
    <cellStyle name="Normal 2 4 2 2" xfId="2498" xr:uid="{00000000-0005-0000-0000-00001C110000}"/>
    <cellStyle name="Normal 2 4 2 2 2" xfId="6591" xr:uid="{00000000-0005-0000-0000-00001D110000}"/>
    <cellStyle name="Normal 2 4 2 3" xfId="4471" xr:uid="{00000000-0005-0000-0000-00001E110000}"/>
    <cellStyle name="Normal 2 4 2 3 2" xfId="6592" xr:uid="{00000000-0005-0000-0000-00001F110000}"/>
    <cellStyle name="Normal 2 4 2 4" xfId="6593" xr:uid="{00000000-0005-0000-0000-000020110000}"/>
    <cellStyle name="Normal 2 4 2 5" xfId="6594" xr:uid="{00000000-0005-0000-0000-000021110000}"/>
    <cellStyle name="Normal 2 4 3" xfId="2499" xr:uid="{00000000-0005-0000-0000-000022110000}"/>
    <cellStyle name="Normal 2 4 3 2" xfId="6595" xr:uid="{00000000-0005-0000-0000-000023110000}"/>
    <cellStyle name="Normal 2 4 4" xfId="3742" xr:uid="{00000000-0005-0000-0000-000024110000}"/>
    <cellStyle name="Normal 2 4 4 2" xfId="6596" xr:uid="{00000000-0005-0000-0000-000025110000}"/>
    <cellStyle name="Normal 2 4 5" xfId="2496" xr:uid="{00000000-0005-0000-0000-000026110000}"/>
    <cellStyle name="Normal 2 4 5 2" xfId="6597" xr:uid="{00000000-0005-0000-0000-000027110000}"/>
    <cellStyle name="Normal 2 4 6" xfId="6598" xr:uid="{00000000-0005-0000-0000-000028110000}"/>
    <cellStyle name="Normal 2 4 6 2" xfId="6599" xr:uid="{00000000-0005-0000-0000-000029110000}"/>
    <cellStyle name="Normal 2 4 7" xfId="6600" xr:uid="{00000000-0005-0000-0000-00002A110000}"/>
    <cellStyle name="Normal 2 4 7 2" xfId="6601" xr:uid="{00000000-0005-0000-0000-00002B110000}"/>
    <cellStyle name="Normal 2 4 8" xfId="6602" xr:uid="{00000000-0005-0000-0000-00002C110000}"/>
    <cellStyle name="Normal 2 5" xfId="2500" xr:uid="{00000000-0005-0000-0000-00002D110000}"/>
    <cellStyle name="Normal 2 5 2" xfId="6603" xr:uid="{00000000-0005-0000-0000-00002E110000}"/>
    <cellStyle name="Normal 2 5 2 2" xfId="6604" xr:uid="{00000000-0005-0000-0000-00002F110000}"/>
    <cellStyle name="Normal 2 5 2 2 2" xfId="6605" xr:uid="{00000000-0005-0000-0000-000030110000}"/>
    <cellStyle name="Normal 2 5 2 3" xfId="6606" xr:uid="{00000000-0005-0000-0000-000031110000}"/>
    <cellStyle name="Normal 2 5 2 3 2" xfId="6607" xr:uid="{00000000-0005-0000-0000-000032110000}"/>
    <cellStyle name="Normal 2 5 2 4" xfId="6608" xr:uid="{00000000-0005-0000-0000-000033110000}"/>
    <cellStyle name="Normal 2 5 3" xfId="6609" xr:uid="{00000000-0005-0000-0000-000034110000}"/>
    <cellStyle name="Normal 2 5 3 2" xfId="6610" xr:uid="{00000000-0005-0000-0000-000035110000}"/>
    <cellStyle name="Normal 2 5 4" xfId="6611" xr:uid="{00000000-0005-0000-0000-000036110000}"/>
    <cellStyle name="Normal 2 5 4 2" xfId="6612" xr:uid="{00000000-0005-0000-0000-000037110000}"/>
    <cellStyle name="Normal 2 5 5" xfId="6613" xr:uid="{00000000-0005-0000-0000-000038110000}"/>
    <cellStyle name="Normal 2 5 5 2" xfId="6614" xr:uid="{00000000-0005-0000-0000-000039110000}"/>
    <cellStyle name="Normal 2 5 6" xfId="6615" xr:uid="{00000000-0005-0000-0000-00003A110000}"/>
    <cellStyle name="Normal 2 5 6 2" xfId="6616" xr:uid="{00000000-0005-0000-0000-00003B110000}"/>
    <cellStyle name="Normal 2 5 7" xfId="6617" xr:uid="{00000000-0005-0000-0000-00003C110000}"/>
    <cellStyle name="Normal 2 5 8" xfId="6618" xr:uid="{00000000-0005-0000-0000-00003D110000}"/>
    <cellStyle name="Normal 2 6" xfId="6619" xr:uid="{00000000-0005-0000-0000-00003E110000}"/>
    <cellStyle name="Normal 2 6 2" xfId="6620" xr:uid="{00000000-0005-0000-0000-00003F110000}"/>
    <cellStyle name="Normal 2 6 2 2" xfId="6621" xr:uid="{00000000-0005-0000-0000-000040110000}"/>
    <cellStyle name="Normal 2 6 2 2 2" xfId="6622" xr:uid="{00000000-0005-0000-0000-000041110000}"/>
    <cellStyle name="Normal 2 6 2 3" xfId="6623" xr:uid="{00000000-0005-0000-0000-000042110000}"/>
    <cellStyle name="Normal 2 6 2 3 2" xfId="6624" xr:uid="{00000000-0005-0000-0000-000043110000}"/>
    <cellStyle name="Normal 2 6 2 4" xfId="6625" xr:uid="{00000000-0005-0000-0000-000044110000}"/>
    <cellStyle name="Normal 2 6 3" xfId="6626" xr:uid="{00000000-0005-0000-0000-000045110000}"/>
    <cellStyle name="Normal 2 6 3 2" xfId="6627" xr:uid="{00000000-0005-0000-0000-000046110000}"/>
    <cellStyle name="Normal 2 6 4" xfId="6628" xr:uid="{00000000-0005-0000-0000-000047110000}"/>
    <cellStyle name="Normal 2 6 4 2" xfId="6629" xr:uid="{00000000-0005-0000-0000-000048110000}"/>
    <cellStyle name="Normal 2 6 5" xfId="6630" xr:uid="{00000000-0005-0000-0000-000049110000}"/>
    <cellStyle name="Normal 2 6 5 2" xfId="6631" xr:uid="{00000000-0005-0000-0000-00004A110000}"/>
    <cellStyle name="Normal 2 6 6" xfId="6632" xr:uid="{00000000-0005-0000-0000-00004B110000}"/>
    <cellStyle name="Normal 2 6 6 2" xfId="6633" xr:uid="{00000000-0005-0000-0000-00004C110000}"/>
    <cellStyle name="Normal 2 7" xfId="6634" xr:uid="{00000000-0005-0000-0000-00004D110000}"/>
    <cellStyle name="Normal 2 7 2" xfId="6635" xr:uid="{00000000-0005-0000-0000-00004E110000}"/>
    <cellStyle name="Normal 2 7 2 2" xfId="6636" xr:uid="{00000000-0005-0000-0000-00004F110000}"/>
    <cellStyle name="Normal 2 7 2 2 2" xfId="6637" xr:uid="{00000000-0005-0000-0000-000050110000}"/>
    <cellStyle name="Normal 2 7 2 3" xfId="6638" xr:uid="{00000000-0005-0000-0000-000051110000}"/>
    <cellStyle name="Normal 2 7 2 3 2" xfId="6639" xr:uid="{00000000-0005-0000-0000-000052110000}"/>
    <cellStyle name="Normal 2 7 2 4" xfId="6640" xr:uid="{00000000-0005-0000-0000-000053110000}"/>
    <cellStyle name="Normal 2 7 3" xfId="6641" xr:uid="{00000000-0005-0000-0000-000054110000}"/>
    <cellStyle name="Normal 2 7 3 2" xfId="6642" xr:uid="{00000000-0005-0000-0000-000055110000}"/>
    <cellStyle name="Normal 2 7 4" xfId="6643" xr:uid="{00000000-0005-0000-0000-000056110000}"/>
    <cellStyle name="Normal 2 7 4 2" xfId="6644" xr:uid="{00000000-0005-0000-0000-000057110000}"/>
    <cellStyle name="Normal 2 7 5" xfId="6645" xr:uid="{00000000-0005-0000-0000-000058110000}"/>
    <cellStyle name="Normal 2 7 5 2" xfId="6646" xr:uid="{00000000-0005-0000-0000-000059110000}"/>
    <cellStyle name="Normal 2 7 6" xfId="6647" xr:uid="{00000000-0005-0000-0000-00005A110000}"/>
    <cellStyle name="Normal 2 8" xfId="6648" xr:uid="{00000000-0005-0000-0000-00005B110000}"/>
    <cellStyle name="Normal 2 8 2" xfId="6649" xr:uid="{00000000-0005-0000-0000-00005C110000}"/>
    <cellStyle name="Normal 2 8 2 2" xfId="6650" xr:uid="{00000000-0005-0000-0000-00005D110000}"/>
    <cellStyle name="Normal 2 8 2 2 2" xfId="6651" xr:uid="{00000000-0005-0000-0000-00005E110000}"/>
    <cellStyle name="Normal 2 8 2 3" xfId="6652" xr:uid="{00000000-0005-0000-0000-00005F110000}"/>
    <cellStyle name="Normal 2 8 2 3 2" xfId="6653" xr:uid="{00000000-0005-0000-0000-000060110000}"/>
    <cellStyle name="Normal 2 8 2 4" xfId="6654" xr:uid="{00000000-0005-0000-0000-000061110000}"/>
    <cellStyle name="Normal 2 8 3" xfId="6655" xr:uid="{00000000-0005-0000-0000-000062110000}"/>
    <cellStyle name="Normal 2 8 3 2" xfId="6656" xr:uid="{00000000-0005-0000-0000-000063110000}"/>
    <cellStyle name="Normal 2 8 4" xfId="6657" xr:uid="{00000000-0005-0000-0000-000064110000}"/>
    <cellStyle name="Normal 2 8 4 2" xfId="6658" xr:uid="{00000000-0005-0000-0000-000065110000}"/>
    <cellStyle name="Normal 2 8 5" xfId="6659" xr:uid="{00000000-0005-0000-0000-000066110000}"/>
    <cellStyle name="Normal 2 8 5 2" xfId="6660" xr:uid="{00000000-0005-0000-0000-000067110000}"/>
    <cellStyle name="Normal 2 8 6" xfId="6661" xr:uid="{00000000-0005-0000-0000-000068110000}"/>
    <cellStyle name="Normal 2 9" xfId="6662" xr:uid="{00000000-0005-0000-0000-000069110000}"/>
    <cellStyle name="Normal 2 9 2" xfId="6663" xr:uid="{00000000-0005-0000-0000-00006A110000}"/>
    <cellStyle name="Normal 2 9 2 2" xfId="6664" xr:uid="{00000000-0005-0000-0000-00006B110000}"/>
    <cellStyle name="Normal 2 9 2 2 2" xfId="6665" xr:uid="{00000000-0005-0000-0000-00006C110000}"/>
    <cellStyle name="Normal 2 9 2 3" xfId="6666" xr:uid="{00000000-0005-0000-0000-00006D110000}"/>
    <cellStyle name="Normal 2 9 2 3 2" xfId="6667" xr:uid="{00000000-0005-0000-0000-00006E110000}"/>
    <cellStyle name="Normal 2 9 2 4" xfId="6668" xr:uid="{00000000-0005-0000-0000-00006F110000}"/>
    <cellStyle name="Normal 2 9 3" xfId="6669" xr:uid="{00000000-0005-0000-0000-000070110000}"/>
    <cellStyle name="Normal 2 9 3 2" xfId="6670" xr:uid="{00000000-0005-0000-0000-000071110000}"/>
    <cellStyle name="Normal 2 9 4" xfId="6671" xr:uid="{00000000-0005-0000-0000-000072110000}"/>
    <cellStyle name="Normal 2 9 4 2" xfId="6672" xr:uid="{00000000-0005-0000-0000-000073110000}"/>
    <cellStyle name="Normal 2 9 5" xfId="6673" xr:uid="{00000000-0005-0000-0000-000074110000}"/>
    <cellStyle name="Normal 2_Plants" xfId="2501" xr:uid="{00000000-0005-0000-0000-000075110000}"/>
    <cellStyle name="Normal 20" xfId="2502" xr:uid="{00000000-0005-0000-0000-000076110000}"/>
    <cellStyle name="Normal 20 2" xfId="6674" xr:uid="{00000000-0005-0000-0000-000077110000}"/>
    <cellStyle name="Normal 21" xfId="2503" xr:uid="{00000000-0005-0000-0000-000078110000}"/>
    <cellStyle name="Normal 21 2" xfId="6675" xr:uid="{00000000-0005-0000-0000-000079110000}"/>
    <cellStyle name="Normal 22" xfId="2504" xr:uid="{00000000-0005-0000-0000-00007A110000}"/>
    <cellStyle name="Normal 22 2" xfId="6676" xr:uid="{00000000-0005-0000-0000-00007B110000}"/>
    <cellStyle name="Normal 23" xfId="2505" xr:uid="{00000000-0005-0000-0000-00007C110000}"/>
    <cellStyle name="Normal 23 2" xfId="6677" xr:uid="{00000000-0005-0000-0000-00007D110000}"/>
    <cellStyle name="Normal 24" xfId="2506" xr:uid="{00000000-0005-0000-0000-00007E110000}"/>
    <cellStyle name="Normal 25" xfId="2507" xr:uid="{00000000-0005-0000-0000-00007F110000}"/>
    <cellStyle name="Normal 26" xfId="2508" xr:uid="{00000000-0005-0000-0000-000080110000}"/>
    <cellStyle name="Normal 27" xfId="2509" xr:uid="{00000000-0005-0000-0000-000081110000}"/>
    <cellStyle name="Normal 28" xfId="2510" xr:uid="{00000000-0005-0000-0000-000082110000}"/>
    <cellStyle name="Normal 29" xfId="2511" xr:uid="{00000000-0005-0000-0000-000083110000}"/>
    <cellStyle name="Normal 29 2" xfId="2512" xr:uid="{00000000-0005-0000-0000-000084110000}"/>
    <cellStyle name="Normal 3" xfId="907" xr:uid="{00000000-0005-0000-0000-000085110000}"/>
    <cellStyle name="Normal 3 10" xfId="2514" xr:uid="{00000000-0005-0000-0000-000086110000}"/>
    <cellStyle name="Normal 3 10 2" xfId="6678" xr:uid="{00000000-0005-0000-0000-000087110000}"/>
    <cellStyle name="Normal 3 10 2 2" xfId="6679" xr:uid="{00000000-0005-0000-0000-000088110000}"/>
    <cellStyle name="Normal 3 10 3" xfId="6680" xr:uid="{00000000-0005-0000-0000-000089110000}"/>
    <cellStyle name="Normal 3 11" xfId="2515" xr:uid="{00000000-0005-0000-0000-00008A110000}"/>
    <cellStyle name="Normal 3 11 2" xfId="6681" xr:uid="{00000000-0005-0000-0000-00008B110000}"/>
    <cellStyle name="Normal 3 12" xfId="2516" xr:uid="{00000000-0005-0000-0000-00008C110000}"/>
    <cellStyle name="Normal 3 12 2" xfId="6682" xr:uid="{00000000-0005-0000-0000-00008D110000}"/>
    <cellStyle name="Normal 3 13" xfId="2517" xr:uid="{00000000-0005-0000-0000-00008E110000}"/>
    <cellStyle name="Normal 3 13 2" xfId="6683" xr:uid="{00000000-0005-0000-0000-00008F110000}"/>
    <cellStyle name="Normal 3 14" xfId="2518" xr:uid="{00000000-0005-0000-0000-000090110000}"/>
    <cellStyle name="Normal 3 14 2" xfId="6684" xr:uid="{00000000-0005-0000-0000-000091110000}"/>
    <cellStyle name="Normal 3 15" xfId="2519" xr:uid="{00000000-0005-0000-0000-000092110000}"/>
    <cellStyle name="Normal 3 16" xfId="2520" xr:uid="{00000000-0005-0000-0000-000093110000}"/>
    <cellStyle name="Normal 3 17" xfId="2513" xr:uid="{00000000-0005-0000-0000-000094110000}"/>
    <cellStyle name="Normal 3 18" xfId="8188" xr:uid="{00000000-0005-0000-0000-000095110000}"/>
    <cellStyle name="Normal 3 2" xfId="908" xr:uid="{00000000-0005-0000-0000-000096110000}"/>
    <cellStyle name="Normal 3 2 12" xfId="8184" xr:uid="{00000000-0005-0000-0000-000097110000}"/>
    <cellStyle name="Normal 3 2 2" xfId="909" xr:uid="{00000000-0005-0000-0000-000098110000}"/>
    <cellStyle name="Normal 3 2 2 2" xfId="1947" xr:uid="{00000000-0005-0000-0000-000099110000}"/>
    <cellStyle name="Normal 3 2 2 2 2" xfId="2523" xr:uid="{00000000-0005-0000-0000-00009A110000}"/>
    <cellStyle name="Normal 3 2 2 2 3" xfId="6685" xr:uid="{00000000-0005-0000-0000-00009B110000}"/>
    <cellStyle name="Normal 3 2 2 3" xfId="1961" xr:uid="{00000000-0005-0000-0000-00009C110000}"/>
    <cellStyle name="Normal 3 2 2 3 2" xfId="2525" xr:uid="{00000000-0005-0000-0000-00009D110000}"/>
    <cellStyle name="Normal 3 2 2 3 3" xfId="2524" xr:uid="{00000000-0005-0000-0000-00009E110000}"/>
    <cellStyle name="Normal 3 2 2 4" xfId="2526" xr:uid="{00000000-0005-0000-0000-00009F110000}"/>
    <cellStyle name="Normal 3 2 2 4 2" xfId="6686" xr:uid="{00000000-0005-0000-0000-0000A0110000}"/>
    <cellStyle name="Normal 3 2 2 5" xfId="2522" xr:uid="{00000000-0005-0000-0000-0000A1110000}"/>
    <cellStyle name="Normal 3 2 2 6" xfId="6687" xr:uid="{00000000-0005-0000-0000-0000A2110000}"/>
    <cellStyle name="Normal 3 2 3" xfId="1943" xr:uid="{00000000-0005-0000-0000-0000A3110000}"/>
    <cellStyle name="Normal 3 2 3 2" xfId="2528" xr:uid="{00000000-0005-0000-0000-0000A4110000}"/>
    <cellStyle name="Normal 3 2 3 2 2" xfId="2529" xr:uid="{00000000-0005-0000-0000-0000A5110000}"/>
    <cellStyle name="Normal 3 2 3 3" xfId="2530" xr:uid="{00000000-0005-0000-0000-0000A6110000}"/>
    <cellStyle name="Normal 3 2 3 4" xfId="4472" xr:uid="{00000000-0005-0000-0000-0000A7110000}"/>
    <cellStyle name="Normal 3 2 3 5" xfId="2527" xr:uid="{00000000-0005-0000-0000-0000A8110000}"/>
    <cellStyle name="Normal 3 2 4" xfId="1957" xr:uid="{00000000-0005-0000-0000-0000A9110000}"/>
    <cellStyle name="Normal 3 2 4 2" xfId="2532" xr:uid="{00000000-0005-0000-0000-0000AA110000}"/>
    <cellStyle name="Normal 3 2 4 3" xfId="2531" xr:uid="{00000000-0005-0000-0000-0000AB110000}"/>
    <cellStyle name="Normal 3 2 5" xfId="2533" xr:uid="{00000000-0005-0000-0000-0000AC110000}"/>
    <cellStyle name="Normal 3 2 5 2" xfId="6688" xr:uid="{00000000-0005-0000-0000-0000AD110000}"/>
    <cellStyle name="Normal 3 2 5 3" xfId="6689" xr:uid="{00000000-0005-0000-0000-0000AE110000}"/>
    <cellStyle name="Normal 3 2 6" xfId="3743" xr:uid="{00000000-0005-0000-0000-0000AF110000}"/>
    <cellStyle name="Normal 3 2 6 2" xfId="6690" xr:uid="{00000000-0005-0000-0000-0000B0110000}"/>
    <cellStyle name="Normal 3 2 7" xfId="2521" xr:uid="{00000000-0005-0000-0000-0000B1110000}"/>
    <cellStyle name="Normal 3 2 7 2" xfId="6691" xr:uid="{00000000-0005-0000-0000-0000B2110000}"/>
    <cellStyle name="Normal 3 2 8" xfId="6692" xr:uid="{00000000-0005-0000-0000-0000B3110000}"/>
    <cellStyle name="Normal 3 3" xfId="910" xr:uid="{00000000-0005-0000-0000-0000B4110000}"/>
    <cellStyle name="Normal 3 3 2" xfId="911" xr:uid="{00000000-0005-0000-0000-0000B5110000}"/>
    <cellStyle name="Normal 3 3 2 2" xfId="2536" xr:uid="{00000000-0005-0000-0000-0000B6110000}"/>
    <cellStyle name="Normal 3 3 2 2 2" xfId="2537" xr:uid="{00000000-0005-0000-0000-0000B7110000}"/>
    <cellStyle name="Normal 3 3 2 2 3" xfId="6693" xr:uid="{00000000-0005-0000-0000-0000B8110000}"/>
    <cellStyle name="Normal 3 3 2 3" xfId="2538" xr:uid="{00000000-0005-0000-0000-0000B9110000}"/>
    <cellStyle name="Normal 3 3 2 3 2" xfId="6694" xr:uid="{00000000-0005-0000-0000-0000BA110000}"/>
    <cellStyle name="Normal 3 3 2 4" xfId="4473" xr:uid="{00000000-0005-0000-0000-0000BB110000}"/>
    <cellStyle name="Normal 3 3 2 5" xfId="2535" xr:uid="{00000000-0005-0000-0000-0000BC110000}"/>
    <cellStyle name="Normal 3 3 3" xfId="1946" xr:uid="{00000000-0005-0000-0000-0000BD110000}"/>
    <cellStyle name="Normal 3 3 3 2" xfId="2540" xr:uid="{00000000-0005-0000-0000-0000BE110000}"/>
    <cellStyle name="Normal 3 3 3 3" xfId="2539" xr:uid="{00000000-0005-0000-0000-0000BF110000}"/>
    <cellStyle name="Normal 3 3 4" xfId="1960" xr:uid="{00000000-0005-0000-0000-0000C0110000}"/>
    <cellStyle name="Normal 3 3 4 2" xfId="2541" xr:uid="{00000000-0005-0000-0000-0000C1110000}"/>
    <cellStyle name="Normal 3 3 4 3" xfId="6695" xr:uid="{00000000-0005-0000-0000-0000C2110000}"/>
    <cellStyle name="Normal 3 3 5" xfId="3744" xr:uid="{00000000-0005-0000-0000-0000C3110000}"/>
    <cellStyle name="Normal 3 3 5 2" xfId="6696" xr:uid="{00000000-0005-0000-0000-0000C4110000}"/>
    <cellStyle name="Normal 3 3 6" xfId="2534" xr:uid="{00000000-0005-0000-0000-0000C5110000}"/>
    <cellStyle name="Normal 3 3 6 2" xfId="6697" xr:uid="{00000000-0005-0000-0000-0000C6110000}"/>
    <cellStyle name="Normal 3 3 7" xfId="6698" xr:uid="{00000000-0005-0000-0000-0000C7110000}"/>
    <cellStyle name="Normal 3 3 8" xfId="6699" xr:uid="{00000000-0005-0000-0000-0000C8110000}"/>
    <cellStyle name="Normal 3 4" xfId="912" xr:uid="{00000000-0005-0000-0000-0000C9110000}"/>
    <cellStyle name="Normal 3 4 2" xfId="2542" xr:uid="{00000000-0005-0000-0000-0000CA110000}"/>
    <cellStyle name="Normal 3 4 2 2" xfId="6700" xr:uid="{00000000-0005-0000-0000-0000CB110000}"/>
    <cellStyle name="Normal 3 4 2 2 2" xfId="6701" xr:uid="{00000000-0005-0000-0000-0000CC110000}"/>
    <cellStyle name="Normal 3 4 2 3" xfId="6702" xr:uid="{00000000-0005-0000-0000-0000CD110000}"/>
    <cellStyle name="Normal 3 4 2 3 2" xfId="6703" xr:uid="{00000000-0005-0000-0000-0000CE110000}"/>
    <cellStyle name="Normal 3 4 2 4" xfId="6704" xr:uid="{00000000-0005-0000-0000-0000CF110000}"/>
    <cellStyle name="Normal 3 4 3" xfId="6705" xr:uid="{00000000-0005-0000-0000-0000D0110000}"/>
    <cellStyle name="Normal 3 4 3 2" xfId="6706" xr:uid="{00000000-0005-0000-0000-0000D1110000}"/>
    <cellStyle name="Normal 3 4 4" xfId="6707" xr:uid="{00000000-0005-0000-0000-0000D2110000}"/>
    <cellStyle name="Normal 3 4 4 2" xfId="6708" xr:uid="{00000000-0005-0000-0000-0000D3110000}"/>
    <cellStyle name="Normal 3 4 5" xfId="6709" xr:uid="{00000000-0005-0000-0000-0000D4110000}"/>
    <cellStyle name="Normal 3 4 5 2" xfId="6710" xr:uid="{00000000-0005-0000-0000-0000D5110000}"/>
    <cellStyle name="Normal 3 4 6" xfId="6711" xr:uid="{00000000-0005-0000-0000-0000D6110000}"/>
    <cellStyle name="Normal 3 4 6 2" xfId="6712" xr:uid="{00000000-0005-0000-0000-0000D7110000}"/>
    <cellStyle name="Normal 3 4 7" xfId="6713" xr:uid="{00000000-0005-0000-0000-0000D8110000}"/>
    <cellStyle name="Normal 3 4 8" xfId="6714" xr:uid="{00000000-0005-0000-0000-0000D9110000}"/>
    <cellStyle name="Normal 3 5" xfId="913" xr:uid="{00000000-0005-0000-0000-0000DA110000}"/>
    <cellStyle name="Normal 3 5 2" xfId="2543" xr:uid="{00000000-0005-0000-0000-0000DB110000}"/>
    <cellStyle name="Normal 3 5 2 2" xfId="6715" xr:uid="{00000000-0005-0000-0000-0000DC110000}"/>
    <cellStyle name="Normal 3 5 2 2 2" xfId="6716" xr:uid="{00000000-0005-0000-0000-0000DD110000}"/>
    <cellStyle name="Normal 3 5 2 3" xfId="6717" xr:uid="{00000000-0005-0000-0000-0000DE110000}"/>
    <cellStyle name="Normal 3 5 2 3 2" xfId="6718" xr:uid="{00000000-0005-0000-0000-0000DF110000}"/>
    <cellStyle name="Normal 3 5 2 4" xfId="6719" xr:uid="{00000000-0005-0000-0000-0000E0110000}"/>
    <cellStyle name="Normal 3 5 3" xfId="6720" xr:uid="{00000000-0005-0000-0000-0000E1110000}"/>
    <cellStyle name="Normal 3 5 3 2" xfId="6721" xr:uid="{00000000-0005-0000-0000-0000E2110000}"/>
    <cellStyle name="Normal 3 5 4" xfId="6722" xr:uid="{00000000-0005-0000-0000-0000E3110000}"/>
    <cellStyle name="Normal 3 5 4 2" xfId="6723" xr:uid="{00000000-0005-0000-0000-0000E4110000}"/>
    <cellStyle name="Normal 3 5 5" xfId="6724" xr:uid="{00000000-0005-0000-0000-0000E5110000}"/>
    <cellStyle name="Normal 3 5 5 2" xfId="6725" xr:uid="{00000000-0005-0000-0000-0000E6110000}"/>
    <cellStyle name="Normal 3 5 6" xfId="6726" xr:uid="{00000000-0005-0000-0000-0000E7110000}"/>
    <cellStyle name="Normal 3 5 7" xfId="6727" xr:uid="{00000000-0005-0000-0000-0000E8110000}"/>
    <cellStyle name="Normal 3 6" xfId="1942" xr:uid="{00000000-0005-0000-0000-0000E9110000}"/>
    <cellStyle name="Normal 3 6 2" xfId="2545" xr:uid="{00000000-0005-0000-0000-0000EA110000}"/>
    <cellStyle name="Normal 3 6 2 2" xfId="6728" xr:uid="{00000000-0005-0000-0000-0000EB110000}"/>
    <cellStyle name="Normal 3 6 2 2 2" xfId="6729" xr:uid="{00000000-0005-0000-0000-0000EC110000}"/>
    <cellStyle name="Normal 3 6 2 3" xfId="6730" xr:uid="{00000000-0005-0000-0000-0000ED110000}"/>
    <cellStyle name="Normal 3 6 2 3 2" xfId="6731" xr:uid="{00000000-0005-0000-0000-0000EE110000}"/>
    <cellStyle name="Normal 3 6 2 4" xfId="6732" xr:uid="{00000000-0005-0000-0000-0000EF110000}"/>
    <cellStyle name="Normal 3 6 3" xfId="2544" xr:uid="{00000000-0005-0000-0000-0000F0110000}"/>
    <cellStyle name="Normal 3 6 3 2" xfId="6733" xr:uid="{00000000-0005-0000-0000-0000F1110000}"/>
    <cellStyle name="Normal 3 6 4" xfId="6734" xr:uid="{00000000-0005-0000-0000-0000F2110000}"/>
    <cellStyle name="Normal 3 6 4 2" xfId="6735" xr:uid="{00000000-0005-0000-0000-0000F3110000}"/>
    <cellStyle name="Normal 3 6 5" xfId="6736" xr:uid="{00000000-0005-0000-0000-0000F4110000}"/>
    <cellStyle name="Normal 3 6 5 2" xfId="6737" xr:uid="{00000000-0005-0000-0000-0000F5110000}"/>
    <cellStyle name="Normal 3 6 6" xfId="6738" xr:uid="{00000000-0005-0000-0000-0000F6110000}"/>
    <cellStyle name="Normal 3 6 7" xfId="6739" xr:uid="{00000000-0005-0000-0000-0000F7110000}"/>
    <cellStyle name="Normal 3 7" xfId="1956" xr:uid="{00000000-0005-0000-0000-0000F8110000}"/>
    <cellStyle name="Normal 3 7 2" xfId="2546" xr:uid="{00000000-0005-0000-0000-0000F9110000}"/>
    <cellStyle name="Normal 3 7 2 2" xfId="6740" xr:uid="{00000000-0005-0000-0000-0000FA110000}"/>
    <cellStyle name="Normal 3 7 2 2 2" xfId="6741" xr:uid="{00000000-0005-0000-0000-0000FB110000}"/>
    <cellStyle name="Normal 3 7 2 3" xfId="6742" xr:uid="{00000000-0005-0000-0000-0000FC110000}"/>
    <cellStyle name="Normal 3 7 2 3 2" xfId="6743" xr:uid="{00000000-0005-0000-0000-0000FD110000}"/>
    <cellStyle name="Normal 3 7 2 4" xfId="6744" xr:uid="{00000000-0005-0000-0000-0000FE110000}"/>
    <cellStyle name="Normal 3 7 3" xfId="6745" xr:uid="{00000000-0005-0000-0000-0000FF110000}"/>
    <cellStyle name="Normal 3 7 3 2" xfId="6746" xr:uid="{00000000-0005-0000-0000-000000120000}"/>
    <cellStyle name="Normal 3 7 4" xfId="6747" xr:uid="{00000000-0005-0000-0000-000001120000}"/>
    <cellStyle name="Normal 3 7 4 2" xfId="6748" xr:uid="{00000000-0005-0000-0000-000002120000}"/>
    <cellStyle name="Normal 3 7 5" xfId="6749" xr:uid="{00000000-0005-0000-0000-000003120000}"/>
    <cellStyle name="Normal 3 7 5 2" xfId="6750" xr:uid="{00000000-0005-0000-0000-000004120000}"/>
    <cellStyle name="Normal 3 7 6" xfId="6751" xr:uid="{00000000-0005-0000-0000-000005120000}"/>
    <cellStyle name="Normal 3 8" xfId="2547" xr:uid="{00000000-0005-0000-0000-000006120000}"/>
    <cellStyle name="Normal 3 8 2" xfId="6752" xr:uid="{00000000-0005-0000-0000-000007120000}"/>
    <cellStyle name="Normal 3 8 2 2" xfId="6753" xr:uid="{00000000-0005-0000-0000-000008120000}"/>
    <cellStyle name="Normal 3 8 2 2 2" xfId="6754" xr:uid="{00000000-0005-0000-0000-000009120000}"/>
    <cellStyle name="Normal 3 8 2 3" xfId="6755" xr:uid="{00000000-0005-0000-0000-00000A120000}"/>
    <cellStyle name="Normal 3 8 2 3 2" xfId="6756" xr:uid="{00000000-0005-0000-0000-00000B120000}"/>
    <cellStyle name="Normal 3 8 2 4" xfId="6757" xr:uid="{00000000-0005-0000-0000-00000C120000}"/>
    <cellStyle name="Normal 3 8 3" xfId="6758" xr:uid="{00000000-0005-0000-0000-00000D120000}"/>
    <cellStyle name="Normal 3 8 3 2" xfId="6759" xr:uid="{00000000-0005-0000-0000-00000E120000}"/>
    <cellStyle name="Normal 3 8 4" xfId="6760" xr:uid="{00000000-0005-0000-0000-00000F120000}"/>
    <cellStyle name="Normal 3 8 4 2" xfId="6761" xr:uid="{00000000-0005-0000-0000-000010120000}"/>
    <cellStyle name="Normal 3 8 5" xfId="6762" xr:uid="{00000000-0005-0000-0000-000011120000}"/>
    <cellStyle name="Normal 3 8 5 2" xfId="6763" xr:uid="{00000000-0005-0000-0000-000012120000}"/>
    <cellStyle name="Normal 3 8 6" xfId="6764" xr:uid="{00000000-0005-0000-0000-000013120000}"/>
    <cellStyle name="Normal 3 9" xfId="2548" xr:uid="{00000000-0005-0000-0000-000014120000}"/>
    <cellStyle name="Normal 3 9 2" xfId="6765" xr:uid="{00000000-0005-0000-0000-000015120000}"/>
    <cellStyle name="Normal 3 9 2 2" xfId="6766" xr:uid="{00000000-0005-0000-0000-000016120000}"/>
    <cellStyle name="Normal 3 9 3" xfId="6767" xr:uid="{00000000-0005-0000-0000-000017120000}"/>
    <cellStyle name="Normal 3 9 3 2" xfId="6768" xr:uid="{00000000-0005-0000-0000-000018120000}"/>
    <cellStyle name="Normal 3 9 4" xfId="6769" xr:uid="{00000000-0005-0000-0000-000019120000}"/>
    <cellStyle name="Normal 30" xfId="3108" xr:uid="{00000000-0005-0000-0000-00001A120000}"/>
    <cellStyle name="Normal 31" xfId="2549" xr:uid="{00000000-0005-0000-0000-00001B120000}"/>
    <cellStyle name="Normal 32" xfId="2550" xr:uid="{00000000-0005-0000-0000-00001C120000}"/>
    <cellStyle name="Normal 33" xfId="2551" xr:uid="{00000000-0005-0000-0000-00001D120000}"/>
    <cellStyle name="Normal 34" xfId="2552" xr:uid="{00000000-0005-0000-0000-00001E120000}"/>
    <cellStyle name="Normal 4" xfId="914" xr:uid="{00000000-0005-0000-0000-00001F120000}"/>
    <cellStyle name="Normal 4 10" xfId="2553" xr:uid="{00000000-0005-0000-0000-000020120000}"/>
    <cellStyle name="Normal 4 11" xfId="2554" xr:uid="{00000000-0005-0000-0000-000021120000}"/>
    <cellStyle name="Normal 4 12" xfId="2555" xr:uid="{00000000-0005-0000-0000-000022120000}"/>
    <cellStyle name="Normal 4 13" xfId="2556" xr:uid="{00000000-0005-0000-0000-000023120000}"/>
    <cellStyle name="Normal 4 14" xfId="2557" xr:uid="{00000000-0005-0000-0000-000024120000}"/>
    <cellStyle name="Normal 4 15" xfId="2558" xr:uid="{00000000-0005-0000-0000-000025120000}"/>
    <cellStyle name="Normal 4 16" xfId="8190" xr:uid="{00000000-0005-0000-0000-000026120000}"/>
    <cellStyle name="Normal 4 2" xfId="915" xr:uid="{00000000-0005-0000-0000-000027120000}"/>
    <cellStyle name="Normal 4 2 2" xfId="4474" xr:uid="{00000000-0005-0000-0000-000028120000}"/>
    <cellStyle name="Normal 4 2 3" xfId="6770" xr:uid="{00000000-0005-0000-0000-000029120000}"/>
    <cellStyle name="Normal 4 2 4" xfId="6771" xr:uid="{00000000-0005-0000-0000-00002A120000}"/>
    <cellStyle name="Normal 4 3" xfId="916" xr:uid="{00000000-0005-0000-0000-00002B120000}"/>
    <cellStyle name="Normal 4 3 2" xfId="2559" xr:uid="{00000000-0005-0000-0000-00002C120000}"/>
    <cellStyle name="Normal 4 3 2 2" xfId="6772" xr:uid="{00000000-0005-0000-0000-00002D120000}"/>
    <cellStyle name="Normal 4 3 3" xfId="6773" xr:uid="{00000000-0005-0000-0000-00002E120000}"/>
    <cellStyle name="Normal 4 3 3 2" xfId="6774" xr:uid="{00000000-0005-0000-0000-00002F120000}"/>
    <cellStyle name="Normal 4 3 4" xfId="6775" xr:uid="{00000000-0005-0000-0000-000030120000}"/>
    <cellStyle name="Normal 4 3 5" xfId="6776" xr:uid="{00000000-0005-0000-0000-000031120000}"/>
    <cellStyle name="Normal 4 3 6" xfId="6777" xr:uid="{00000000-0005-0000-0000-000032120000}"/>
    <cellStyle name="Normal 4 4" xfId="2560" xr:uid="{00000000-0005-0000-0000-000033120000}"/>
    <cellStyle name="Normal 4 4 2" xfId="6778" xr:uid="{00000000-0005-0000-0000-000034120000}"/>
    <cellStyle name="Normal 4 5" xfId="2561" xr:uid="{00000000-0005-0000-0000-000035120000}"/>
    <cellStyle name="Normal 4 5 2" xfId="6779" xr:uid="{00000000-0005-0000-0000-000036120000}"/>
    <cellStyle name="Normal 4 6" xfId="2562" xr:uid="{00000000-0005-0000-0000-000037120000}"/>
    <cellStyle name="Normal 4 7" xfId="2563" xr:uid="{00000000-0005-0000-0000-000038120000}"/>
    <cellStyle name="Normal 4 8" xfId="2564" xr:uid="{00000000-0005-0000-0000-000039120000}"/>
    <cellStyle name="Normal 4 9" xfId="2565" xr:uid="{00000000-0005-0000-0000-00003A120000}"/>
    <cellStyle name="Normal 5" xfId="917" xr:uid="{00000000-0005-0000-0000-00003B120000}"/>
    <cellStyle name="Normal 5 10" xfId="6780" xr:uid="{00000000-0005-0000-0000-00003C120000}"/>
    <cellStyle name="Normal 5 10 2" xfId="6781" xr:uid="{00000000-0005-0000-0000-00003D120000}"/>
    <cellStyle name="Normal 5 11" xfId="6782" xr:uid="{00000000-0005-0000-0000-00003E120000}"/>
    <cellStyle name="Normal 5 11 2" xfId="6783" xr:uid="{00000000-0005-0000-0000-00003F120000}"/>
    <cellStyle name="Normal 5 12" xfId="6784" xr:uid="{00000000-0005-0000-0000-000040120000}"/>
    <cellStyle name="Normal 5 12 2" xfId="6785" xr:uid="{00000000-0005-0000-0000-000041120000}"/>
    <cellStyle name="Normal 5 13" xfId="6786" xr:uid="{00000000-0005-0000-0000-000042120000}"/>
    <cellStyle name="Normal 5 13 2" xfId="6787" xr:uid="{00000000-0005-0000-0000-000043120000}"/>
    <cellStyle name="Normal 5 14" xfId="6788" xr:uid="{00000000-0005-0000-0000-000044120000}"/>
    <cellStyle name="Normal 5 15" xfId="6789" xr:uid="{00000000-0005-0000-0000-000045120000}"/>
    <cellStyle name="Normal 5 2" xfId="918" xr:uid="{00000000-0005-0000-0000-000046120000}"/>
    <cellStyle name="Normal 5 2 2" xfId="919" xr:uid="{00000000-0005-0000-0000-000047120000}"/>
    <cellStyle name="Normal 5 2 2 2" xfId="920" xr:uid="{00000000-0005-0000-0000-000048120000}"/>
    <cellStyle name="Normal 5 2 2 2 2" xfId="6790" xr:uid="{00000000-0005-0000-0000-000049120000}"/>
    <cellStyle name="Normal 5 2 2 2 3" xfId="6791" xr:uid="{00000000-0005-0000-0000-00004A120000}"/>
    <cellStyle name="Normal 5 2 2 3" xfId="2566" xr:uid="{00000000-0005-0000-0000-00004B120000}"/>
    <cellStyle name="Normal 5 2 2 3 2" xfId="6792" xr:uid="{00000000-0005-0000-0000-00004C120000}"/>
    <cellStyle name="Normal 5 2 2 4" xfId="6793" xr:uid="{00000000-0005-0000-0000-00004D120000}"/>
    <cellStyle name="Normal 5 2 2 5" xfId="6794" xr:uid="{00000000-0005-0000-0000-00004E120000}"/>
    <cellStyle name="Normal 5 2 3" xfId="2567" xr:uid="{00000000-0005-0000-0000-00004F120000}"/>
    <cellStyle name="Normal 5 2 3 2" xfId="2568" xr:uid="{00000000-0005-0000-0000-000050120000}"/>
    <cellStyle name="Normal 5 2 4" xfId="6795" xr:uid="{00000000-0005-0000-0000-000051120000}"/>
    <cellStyle name="Normal 5 2 4 2" xfId="6796" xr:uid="{00000000-0005-0000-0000-000052120000}"/>
    <cellStyle name="Normal 5 2 5" xfId="6797" xr:uid="{00000000-0005-0000-0000-000053120000}"/>
    <cellStyle name="Normal 5 2 5 2" xfId="6798" xr:uid="{00000000-0005-0000-0000-000054120000}"/>
    <cellStyle name="Normal 5 2 6" xfId="6799" xr:uid="{00000000-0005-0000-0000-000055120000}"/>
    <cellStyle name="Normal 5 2 6 2" xfId="6800" xr:uid="{00000000-0005-0000-0000-000056120000}"/>
    <cellStyle name="Normal 5 2 7" xfId="6801" xr:uid="{00000000-0005-0000-0000-000057120000}"/>
    <cellStyle name="Normal 5 2 7 2" xfId="6802" xr:uid="{00000000-0005-0000-0000-000058120000}"/>
    <cellStyle name="Normal 5 2 8" xfId="6803" xr:uid="{00000000-0005-0000-0000-000059120000}"/>
    <cellStyle name="Normal 5 2 9" xfId="6804" xr:uid="{00000000-0005-0000-0000-00005A120000}"/>
    <cellStyle name="Normal 5 3" xfId="2569" xr:uid="{00000000-0005-0000-0000-00005B120000}"/>
    <cellStyle name="Normal 5 3 2" xfId="6805" xr:uid="{00000000-0005-0000-0000-00005C120000}"/>
    <cellStyle name="Normal 5 3 2 2" xfId="6806" xr:uid="{00000000-0005-0000-0000-00005D120000}"/>
    <cellStyle name="Normal 5 3 2 2 2" xfId="6807" xr:uid="{00000000-0005-0000-0000-00005E120000}"/>
    <cellStyle name="Normal 5 3 2 3" xfId="6808" xr:uid="{00000000-0005-0000-0000-00005F120000}"/>
    <cellStyle name="Normal 5 3 2 3 2" xfId="6809" xr:uid="{00000000-0005-0000-0000-000060120000}"/>
    <cellStyle name="Normal 5 3 2 4" xfId="6810" xr:uid="{00000000-0005-0000-0000-000061120000}"/>
    <cellStyle name="Normal 5 3 3" xfId="6811" xr:uid="{00000000-0005-0000-0000-000062120000}"/>
    <cellStyle name="Normal 5 3 3 2" xfId="6812" xr:uid="{00000000-0005-0000-0000-000063120000}"/>
    <cellStyle name="Normal 5 3 4" xfId="6813" xr:uid="{00000000-0005-0000-0000-000064120000}"/>
    <cellStyle name="Normal 5 3 4 2" xfId="6814" xr:uid="{00000000-0005-0000-0000-000065120000}"/>
    <cellStyle name="Normal 5 3 5" xfId="6815" xr:uid="{00000000-0005-0000-0000-000066120000}"/>
    <cellStyle name="Normal 5 3 5 2" xfId="6816" xr:uid="{00000000-0005-0000-0000-000067120000}"/>
    <cellStyle name="Normal 5 3 6" xfId="6817" xr:uid="{00000000-0005-0000-0000-000068120000}"/>
    <cellStyle name="Normal 5 3 6 2" xfId="6818" xr:uid="{00000000-0005-0000-0000-000069120000}"/>
    <cellStyle name="Normal 5 3 7" xfId="6819" xr:uid="{00000000-0005-0000-0000-00006A120000}"/>
    <cellStyle name="Normal 5 3 8" xfId="6820" xr:uid="{00000000-0005-0000-0000-00006B120000}"/>
    <cellStyle name="Normal 5 4" xfId="6821" xr:uid="{00000000-0005-0000-0000-00006C120000}"/>
    <cellStyle name="Normal 5 4 2" xfId="6822" xr:uid="{00000000-0005-0000-0000-00006D120000}"/>
    <cellStyle name="Normal 5 4 2 2" xfId="6823" xr:uid="{00000000-0005-0000-0000-00006E120000}"/>
    <cellStyle name="Normal 5 4 2 2 2" xfId="6824" xr:uid="{00000000-0005-0000-0000-00006F120000}"/>
    <cellStyle name="Normal 5 4 2 3" xfId="6825" xr:uid="{00000000-0005-0000-0000-000070120000}"/>
    <cellStyle name="Normal 5 4 2 3 2" xfId="6826" xr:uid="{00000000-0005-0000-0000-000071120000}"/>
    <cellStyle name="Normal 5 4 2 4" xfId="6827" xr:uid="{00000000-0005-0000-0000-000072120000}"/>
    <cellStyle name="Normal 5 4 3" xfId="6828" xr:uid="{00000000-0005-0000-0000-000073120000}"/>
    <cellStyle name="Normal 5 4 3 2" xfId="6829" xr:uid="{00000000-0005-0000-0000-000074120000}"/>
    <cellStyle name="Normal 5 4 4" xfId="6830" xr:uid="{00000000-0005-0000-0000-000075120000}"/>
    <cellStyle name="Normal 5 4 4 2" xfId="6831" xr:uid="{00000000-0005-0000-0000-000076120000}"/>
    <cellStyle name="Normal 5 4 5" xfId="6832" xr:uid="{00000000-0005-0000-0000-000077120000}"/>
    <cellStyle name="Normal 5 4 5 2" xfId="6833" xr:uid="{00000000-0005-0000-0000-000078120000}"/>
    <cellStyle name="Normal 5 4 6" xfId="6834" xr:uid="{00000000-0005-0000-0000-000079120000}"/>
    <cellStyle name="Normal 5 5" xfId="6835" xr:uid="{00000000-0005-0000-0000-00007A120000}"/>
    <cellStyle name="Normal 5 5 2" xfId="6836" xr:uid="{00000000-0005-0000-0000-00007B120000}"/>
    <cellStyle name="Normal 5 5 2 2" xfId="6837" xr:uid="{00000000-0005-0000-0000-00007C120000}"/>
    <cellStyle name="Normal 5 5 2 2 2" xfId="6838" xr:uid="{00000000-0005-0000-0000-00007D120000}"/>
    <cellStyle name="Normal 5 5 2 3" xfId="6839" xr:uid="{00000000-0005-0000-0000-00007E120000}"/>
    <cellStyle name="Normal 5 5 2 3 2" xfId="6840" xr:uid="{00000000-0005-0000-0000-00007F120000}"/>
    <cellStyle name="Normal 5 5 2 4" xfId="6841" xr:uid="{00000000-0005-0000-0000-000080120000}"/>
    <cellStyle name="Normal 5 5 3" xfId="6842" xr:uid="{00000000-0005-0000-0000-000081120000}"/>
    <cellStyle name="Normal 5 5 3 2" xfId="6843" xr:uid="{00000000-0005-0000-0000-000082120000}"/>
    <cellStyle name="Normal 5 5 4" xfId="6844" xr:uid="{00000000-0005-0000-0000-000083120000}"/>
    <cellStyle name="Normal 5 5 4 2" xfId="6845" xr:uid="{00000000-0005-0000-0000-000084120000}"/>
    <cellStyle name="Normal 5 5 5" xfId="6846" xr:uid="{00000000-0005-0000-0000-000085120000}"/>
    <cellStyle name="Normal 5 5 5 2" xfId="6847" xr:uid="{00000000-0005-0000-0000-000086120000}"/>
    <cellStyle name="Normal 5 5 6" xfId="6848" xr:uid="{00000000-0005-0000-0000-000087120000}"/>
    <cellStyle name="Normal 5 6" xfId="6849" xr:uid="{00000000-0005-0000-0000-000088120000}"/>
    <cellStyle name="Normal 5 6 2" xfId="6850" xr:uid="{00000000-0005-0000-0000-000089120000}"/>
    <cellStyle name="Normal 5 6 2 2" xfId="6851" xr:uid="{00000000-0005-0000-0000-00008A120000}"/>
    <cellStyle name="Normal 5 6 2 2 2" xfId="6852" xr:uid="{00000000-0005-0000-0000-00008B120000}"/>
    <cellStyle name="Normal 5 6 2 3" xfId="6853" xr:uid="{00000000-0005-0000-0000-00008C120000}"/>
    <cellStyle name="Normal 5 6 2 3 2" xfId="6854" xr:uid="{00000000-0005-0000-0000-00008D120000}"/>
    <cellStyle name="Normal 5 6 2 4" xfId="6855" xr:uid="{00000000-0005-0000-0000-00008E120000}"/>
    <cellStyle name="Normal 5 6 3" xfId="6856" xr:uid="{00000000-0005-0000-0000-00008F120000}"/>
    <cellStyle name="Normal 5 6 3 2" xfId="6857" xr:uid="{00000000-0005-0000-0000-000090120000}"/>
    <cellStyle name="Normal 5 6 4" xfId="6858" xr:uid="{00000000-0005-0000-0000-000091120000}"/>
    <cellStyle name="Normal 5 6 4 2" xfId="6859" xr:uid="{00000000-0005-0000-0000-000092120000}"/>
    <cellStyle name="Normal 5 6 5" xfId="6860" xr:uid="{00000000-0005-0000-0000-000093120000}"/>
    <cellStyle name="Normal 5 6 5 2" xfId="6861" xr:uid="{00000000-0005-0000-0000-000094120000}"/>
    <cellStyle name="Normal 5 6 6" xfId="6862" xr:uid="{00000000-0005-0000-0000-000095120000}"/>
    <cellStyle name="Normal 5 7" xfId="6863" xr:uid="{00000000-0005-0000-0000-000096120000}"/>
    <cellStyle name="Normal 5 7 2" xfId="6864" xr:uid="{00000000-0005-0000-0000-000097120000}"/>
    <cellStyle name="Normal 5 7 2 2" xfId="6865" xr:uid="{00000000-0005-0000-0000-000098120000}"/>
    <cellStyle name="Normal 5 7 2 2 2" xfId="6866" xr:uid="{00000000-0005-0000-0000-000099120000}"/>
    <cellStyle name="Normal 5 7 2 3" xfId="6867" xr:uid="{00000000-0005-0000-0000-00009A120000}"/>
    <cellStyle name="Normal 5 7 2 3 2" xfId="6868" xr:uid="{00000000-0005-0000-0000-00009B120000}"/>
    <cellStyle name="Normal 5 7 2 4" xfId="6869" xr:uid="{00000000-0005-0000-0000-00009C120000}"/>
    <cellStyle name="Normal 5 7 3" xfId="6870" xr:uid="{00000000-0005-0000-0000-00009D120000}"/>
    <cellStyle name="Normal 5 7 3 2" xfId="6871" xr:uid="{00000000-0005-0000-0000-00009E120000}"/>
    <cellStyle name="Normal 5 7 4" xfId="6872" xr:uid="{00000000-0005-0000-0000-00009F120000}"/>
    <cellStyle name="Normal 5 7 4 2" xfId="6873" xr:uid="{00000000-0005-0000-0000-0000A0120000}"/>
    <cellStyle name="Normal 5 7 5" xfId="6874" xr:uid="{00000000-0005-0000-0000-0000A1120000}"/>
    <cellStyle name="Normal 5 7 5 2" xfId="6875" xr:uid="{00000000-0005-0000-0000-0000A2120000}"/>
    <cellStyle name="Normal 5 7 6" xfId="6876" xr:uid="{00000000-0005-0000-0000-0000A3120000}"/>
    <cellStyle name="Normal 5 8" xfId="6877" xr:uid="{00000000-0005-0000-0000-0000A4120000}"/>
    <cellStyle name="Normal 5 8 2" xfId="6878" xr:uid="{00000000-0005-0000-0000-0000A5120000}"/>
    <cellStyle name="Normal 5 8 2 2" xfId="6879" xr:uid="{00000000-0005-0000-0000-0000A6120000}"/>
    <cellStyle name="Normal 5 8 3" xfId="6880" xr:uid="{00000000-0005-0000-0000-0000A7120000}"/>
    <cellStyle name="Normal 5 8 3 2" xfId="6881" xr:uid="{00000000-0005-0000-0000-0000A8120000}"/>
    <cellStyle name="Normal 5 8 4" xfId="6882" xr:uid="{00000000-0005-0000-0000-0000A9120000}"/>
    <cellStyle name="Normal 5 9" xfId="6883" xr:uid="{00000000-0005-0000-0000-0000AA120000}"/>
    <cellStyle name="Normal 5 9 2" xfId="6884" xr:uid="{00000000-0005-0000-0000-0000AB120000}"/>
    <cellStyle name="Normal 5 9 2 2" xfId="6885" xr:uid="{00000000-0005-0000-0000-0000AC120000}"/>
    <cellStyle name="Normal 5 9 3" xfId="6886" xr:uid="{00000000-0005-0000-0000-0000AD120000}"/>
    <cellStyle name="Normal 6" xfId="921" xr:uid="{00000000-0005-0000-0000-0000AE120000}"/>
    <cellStyle name="Normal 6 10" xfId="6887" xr:uid="{00000000-0005-0000-0000-0000AF120000}"/>
    <cellStyle name="Normal 6 10 2" xfId="6888" xr:uid="{00000000-0005-0000-0000-0000B0120000}"/>
    <cellStyle name="Normal 6 11" xfId="6889" xr:uid="{00000000-0005-0000-0000-0000B1120000}"/>
    <cellStyle name="Normal 6 11 2" xfId="6890" xr:uid="{00000000-0005-0000-0000-0000B2120000}"/>
    <cellStyle name="Normal 6 12" xfId="6891" xr:uid="{00000000-0005-0000-0000-0000B3120000}"/>
    <cellStyle name="Normal 6 12 2" xfId="6892" xr:uid="{00000000-0005-0000-0000-0000B4120000}"/>
    <cellStyle name="Normal 6 13" xfId="6893" xr:uid="{00000000-0005-0000-0000-0000B5120000}"/>
    <cellStyle name="Normal 6 13 2" xfId="6894" xr:uid="{00000000-0005-0000-0000-0000B6120000}"/>
    <cellStyle name="Normal 6 14" xfId="6895" xr:uid="{00000000-0005-0000-0000-0000B7120000}"/>
    <cellStyle name="Normal 6 15" xfId="6896" xr:uid="{00000000-0005-0000-0000-0000B8120000}"/>
    <cellStyle name="Normal 6 2" xfId="922" xr:uid="{00000000-0005-0000-0000-0000B9120000}"/>
    <cellStyle name="Normal 6 2 10" xfId="6897" xr:uid="{00000000-0005-0000-0000-0000BA120000}"/>
    <cellStyle name="Normal 6 2 2" xfId="1948" xr:uid="{00000000-0005-0000-0000-0000BB120000}"/>
    <cellStyle name="Normal 6 2 2 2" xfId="2572" xr:uid="{00000000-0005-0000-0000-0000BC120000}"/>
    <cellStyle name="Normal 6 2 2 2 2" xfId="6898" xr:uid="{00000000-0005-0000-0000-0000BD120000}"/>
    <cellStyle name="Normal 6 2 2 3" xfId="6899" xr:uid="{00000000-0005-0000-0000-0000BE120000}"/>
    <cellStyle name="Normal 6 2 2 3 2" xfId="6900" xr:uid="{00000000-0005-0000-0000-0000BF120000}"/>
    <cellStyle name="Normal 6 2 2 4" xfId="6901" xr:uid="{00000000-0005-0000-0000-0000C0120000}"/>
    <cellStyle name="Normal 6 2 2 4 2" xfId="6902" xr:uid="{00000000-0005-0000-0000-0000C1120000}"/>
    <cellStyle name="Normal 6 2 2 5" xfId="6903" xr:uid="{00000000-0005-0000-0000-0000C2120000}"/>
    <cellStyle name="Normal 6 2 2 6" xfId="6904" xr:uid="{00000000-0005-0000-0000-0000C3120000}"/>
    <cellStyle name="Normal 6 2 3" xfId="1962" xr:uid="{00000000-0005-0000-0000-0000C4120000}"/>
    <cellStyle name="Normal 6 2 3 2" xfId="2574" xr:uid="{00000000-0005-0000-0000-0000C5120000}"/>
    <cellStyle name="Normal 6 2 3 2 2" xfId="6905" xr:uid="{00000000-0005-0000-0000-0000C6120000}"/>
    <cellStyle name="Normal 6 2 3 3" xfId="2573" xr:uid="{00000000-0005-0000-0000-0000C7120000}"/>
    <cellStyle name="Normal 6 2 3 4" xfId="6906" xr:uid="{00000000-0005-0000-0000-0000C8120000}"/>
    <cellStyle name="Normal 6 2 4" xfId="2575" xr:uid="{00000000-0005-0000-0000-0000C9120000}"/>
    <cellStyle name="Normal 6 2 4 2" xfId="6907" xr:uid="{00000000-0005-0000-0000-0000CA120000}"/>
    <cellStyle name="Normal 6 2 5" xfId="2571" xr:uid="{00000000-0005-0000-0000-0000CB120000}"/>
    <cellStyle name="Normal 6 2 5 2" xfId="6908" xr:uid="{00000000-0005-0000-0000-0000CC120000}"/>
    <cellStyle name="Normal 6 2 6" xfId="6909" xr:uid="{00000000-0005-0000-0000-0000CD120000}"/>
    <cellStyle name="Normal 6 2 6 2" xfId="6910" xr:uid="{00000000-0005-0000-0000-0000CE120000}"/>
    <cellStyle name="Normal 6 2 7" xfId="6911" xr:uid="{00000000-0005-0000-0000-0000CF120000}"/>
    <cellStyle name="Normal 6 2 7 2" xfId="6912" xr:uid="{00000000-0005-0000-0000-0000D0120000}"/>
    <cellStyle name="Normal 6 2 8" xfId="6913" xr:uid="{00000000-0005-0000-0000-0000D1120000}"/>
    <cellStyle name="Normal 6 2 9" xfId="6914" xr:uid="{00000000-0005-0000-0000-0000D2120000}"/>
    <cellStyle name="Normal 6 3" xfId="923" xr:uid="{00000000-0005-0000-0000-0000D3120000}"/>
    <cellStyle name="Normal 6 3 2" xfId="2576" xr:uid="{00000000-0005-0000-0000-0000D4120000}"/>
    <cellStyle name="Normal 6 3 2 2" xfId="2577" xr:uid="{00000000-0005-0000-0000-0000D5120000}"/>
    <cellStyle name="Normal 6 3 2 2 2" xfId="2578" xr:uid="{00000000-0005-0000-0000-0000D6120000}"/>
    <cellStyle name="Normal 6 3 2 3" xfId="2579" xr:uid="{00000000-0005-0000-0000-0000D7120000}"/>
    <cellStyle name="Normal 6 3 2 3 2" xfId="6915" xr:uid="{00000000-0005-0000-0000-0000D8120000}"/>
    <cellStyle name="Normal 6 3 2 4" xfId="6916" xr:uid="{00000000-0005-0000-0000-0000D9120000}"/>
    <cellStyle name="Normal 6 3 2 5" xfId="6917" xr:uid="{00000000-0005-0000-0000-0000DA120000}"/>
    <cellStyle name="Normal 6 3 3" xfId="4475" xr:uid="{00000000-0005-0000-0000-0000DB120000}"/>
    <cellStyle name="Normal 6 3 3 2" xfId="6918" xr:uid="{00000000-0005-0000-0000-0000DC120000}"/>
    <cellStyle name="Normal 6 3 4" xfId="6919" xr:uid="{00000000-0005-0000-0000-0000DD120000}"/>
    <cellStyle name="Normal 6 3 4 2" xfId="6920" xr:uid="{00000000-0005-0000-0000-0000DE120000}"/>
    <cellStyle name="Normal 6 3 5" xfId="6921" xr:uid="{00000000-0005-0000-0000-0000DF120000}"/>
    <cellStyle name="Normal 6 3 5 2" xfId="6922" xr:uid="{00000000-0005-0000-0000-0000E0120000}"/>
    <cellStyle name="Normal 6 3 6" xfId="6923" xr:uid="{00000000-0005-0000-0000-0000E1120000}"/>
    <cellStyle name="Normal 6 3 6 2" xfId="6924" xr:uid="{00000000-0005-0000-0000-0000E2120000}"/>
    <cellStyle name="Normal 6 3 7" xfId="6925" xr:uid="{00000000-0005-0000-0000-0000E3120000}"/>
    <cellStyle name="Normal 6 3 7 2" xfId="6926" xr:uid="{00000000-0005-0000-0000-0000E4120000}"/>
    <cellStyle name="Normal 6 3 8" xfId="6927" xr:uid="{00000000-0005-0000-0000-0000E5120000}"/>
    <cellStyle name="Normal 6 3 9" xfId="6928" xr:uid="{00000000-0005-0000-0000-0000E6120000}"/>
    <cellStyle name="Normal 6 4" xfId="1944" xr:uid="{00000000-0005-0000-0000-0000E7120000}"/>
    <cellStyle name="Normal 6 4 2" xfId="2581" xr:uid="{00000000-0005-0000-0000-0000E8120000}"/>
    <cellStyle name="Normal 6 4 2 2" xfId="6929" xr:uid="{00000000-0005-0000-0000-0000E9120000}"/>
    <cellStyle name="Normal 6 4 2 2 2" xfId="6930" xr:uid="{00000000-0005-0000-0000-0000EA120000}"/>
    <cellStyle name="Normal 6 4 2 3" xfId="6931" xr:uid="{00000000-0005-0000-0000-0000EB120000}"/>
    <cellStyle name="Normal 6 4 2 3 2" xfId="6932" xr:uid="{00000000-0005-0000-0000-0000EC120000}"/>
    <cellStyle name="Normal 6 4 2 4" xfId="6933" xr:uid="{00000000-0005-0000-0000-0000ED120000}"/>
    <cellStyle name="Normal 6 4 3" xfId="3745" xr:uid="{00000000-0005-0000-0000-0000EE120000}"/>
    <cellStyle name="Normal 6 4 3 2" xfId="6934" xr:uid="{00000000-0005-0000-0000-0000EF120000}"/>
    <cellStyle name="Normal 6 4 4" xfId="2580" xr:uid="{00000000-0005-0000-0000-0000F0120000}"/>
    <cellStyle name="Normal 6 4 4 2" xfId="6935" xr:uid="{00000000-0005-0000-0000-0000F1120000}"/>
    <cellStyle name="Normal 6 4 5" xfId="6936" xr:uid="{00000000-0005-0000-0000-0000F2120000}"/>
    <cellStyle name="Normal 6 4 5 2" xfId="6937" xr:uid="{00000000-0005-0000-0000-0000F3120000}"/>
    <cellStyle name="Normal 6 4 6" xfId="6938" xr:uid="{00000000-0005-0000-0000-0000F4120000}"/>
    <cellStyle name="Normal 6 4 6 2" xfId="6939" xr:uid="{00000000-0005-0000-0000-0000F5120000}"/>
    <cellStyle name="Normal 6 4 7" xfId="6940" xr:uid="{00000000-0005-0000-0000-0000F6120000}"/>
    <cellStyle name="Normal 6 4 8" xfId="6941" xr:uid="{00000000-0005-0000-0000-0000F7120000}"/>
    <cellStyle name="Normal 6 5" xfId="1958" xr:uid="{00000000-0005-0000-0000-0000F8120000}"/>
    <cellStyle name="Normal 6 5 2" xfId="2582" xr:uid="{00000000-0005-0000-0000-0000F9120000}"/>
    <cellStyle name="Normal 6 5 2 2" xfId="6942" xr:uid="{00000000-0005-0000-0000-0000FA120000}"/>
    <cellStyle name="Normal 6 5 2 2 2" xfId="6943" xr:uid="{00000000-0005-0000-0000-0000FB120000}"/>
    <cellStyle name="Normal 6 5 2 3" xfId="6944" xr:uid="{00000000-0005-0000-0000-0000FC120000}"/>
    <cellStyle name="Normal 6 5 2 3 2" xfId="6945" xr:uid="{00000000-0005-0000-0000-0000FD120000}"/>
    <cellStyle name="Normal 6 5 2 4" xfId="6946" xr:uid="{00000000-0005-0000-0000-0000FE120000}"/>
    <cellStyle name="Normal 6 5 3" xfId="6947" xr:uid="{00000000-0005-0000-0000-0000FF120000}"/>
    <cellStyle name="Normal 6 5 3 2" xfId="6948" xr:uid="{00000000-0005-0000-0000-000000130000}"/>
    <cellStyle name="Normal 6 5 4" xfId="6949" xr:uid="{00000000-0005-0000-0000-000001130000}"/>
    <cellStyle name="Normal 6 5 4 2" xfId="6950" xr:uid="{00000000-0005-0000-0000-000002130000}"/>
    <cellStyle name="Normal 6 5 5" xfId="6951" xr:uid="{00000000-0005-0000-0000-000003130000}"/>
    <cellStyle name="Normal 6 5 5 2" xfId="6952" xr:uid="{00000000-0005-0000-0000-000004130000}"/>
    <cellStyle name="Normal 6 5 6" xfId="6953" xr:uid="{00000000-0005-0000-0000-000005130000}"/>
    <cellStyle name="Normal 6 5 7" xfId="6954" xr:uid="{00000000-0005-0000-0000-000006130000}"/>
    <cellStyle name="Normal 6 6" xfId="2570" xr:uid="{00000000-0005-0000-0000-000007130000}"/>
    <cellStyle name="Normal 6 6 2" xfId="6955" xr:uid="{00000000-0005-0000-0000-000008130000}"/>
    <cellStyle name="Normal 6 6 2 2" xfId="6956" xr:uid="{00000000-0005-0000-0000-000009130000}"/>
    <cellStyle name="Normal 6 6 2 2 2" xfId="6957" xr:uid="{00000000-0005-0000-0000-00000A130000}"/>
    <cellStyle name="Normal 6 6 2 3" xfId="6958" xr:uid="{00000000-0005-0000-0000-00000B130000}"/>
    <cellStyle name="Normal 6 6 2 3 2" xfId="6959" xr:uid="{00000000-0005-0000-0000-00000C130000}"/>
    <cellStyle name="Normal 6 6 2 4" xfId="6960" xr:uid="{00000000-0005-0000-0000-00000D130000}"/>
    <cellStyle name="Normal 6 6 3" xfId="6961" xr:uid="{00000000-0005-0000-0000-00000E130000}"/>
    <cellStyle name="Normal 6 6 3 2" xfId="6962" xr:uid="{00000000-0005-0000-0000-00000F130000}"/>
    <cellStyle name="Normal 6 6 4" xfId="6963" xr:uid="{00000000-0005-0000-0000-000010130000}"/>
    <cellStyle name="Normal 6 6 4 2" xfId="6964" xr:uid="{00000000-0005-0000-0000-000011130000}"/>
    <cellStyle name="Normal 6 6 5" xfId="6965" xr:uid="{00000000-0005-0000-0000-000012130000}"/>
    <cellStyle name="Normal 6 6 5 2" xfId="6966" xr:uid="{00000000-0005-0000-0000-000013130000}"/>
    <cellStyle name="Normal 6 6 6" xfId="6967" xr:uid="{00000000-0005-0000-0000-000014130000}"/>
    <cellStyle name="Normal 6 7" xfId="6968" xr:uid="{00000000-0005-0000-0000-000015130000}"/>
    <cellStyle name="Normal 6 7 2" xfId="6969" xr:uid="{00000000-0005-0000-0000-000016130000}"/>
    <cellStyle name="Normal 6 7 2 2" xfId="6970" xr:uid="{00000000-0005-0000-0000-000017130000}"/>
    <cellStyle name="Normal 6 7 2 2 2" xfId="6971" xr:uid="{00000000-0005-0000-0000-000018130000}"/>
    <cellStyle name="Normal 6 7 2 3" xfId="6972" xr:uid="{00000000-0005-0000-0000-000019130000}"/>
    <cellStyle name="Normal 6 7 2 3 2" xfId="6973" xr:uid="{00000000-0005-0000-0000-00001A130000}"/>
    <cellStyle name="Normal 6 7 2 4" xfId="6974" xr:uid="{00000000-0005-0000-0000-00001B130000}"/>
    <cellStyle name="Normal 6 7 3" xfId="6975" xr:uid="{00000000-0005-0000-0000-00001C130000}"/>
    <cellStyle name="Normal 6 7 3 2" xfId="6976" xr:uid="{00000000-0005-0000-0000-00001D130000}"/>
    <cellStyle name="Normal 6 7 4" xfId="6977" xr:uid="{00000000-0005-0000-0000-00001E130000}"/>
    <cellStyle name="Normal 6 7 4 2" xfId="6978" xr:uid="{00000000-0005-0000-0000-00001F130000}"/>
    <cellStyle name="Normal 6 7 5" xfId="6979" xr:uid="{00000000-0005-0000-0000-000020130000}"/>
    <cellStyle name="Normal 6 7 5 2" xfId="6980" xr:uid="{00000000-0005-0000-0000-000021130000}"/>
    <cellStyle name="Normal 6 7 6" xfId="6981" xr:uid="{00000000-0005-0000-0000-000022130000}"/>
    <cellStyle name="Normal 6 8" xfId="6982" xr:uid="{00000000-0005-0000-0000-000023130000}"/>
    <cellStyle name="Normal 6 8 2" xfId="6983" xr:uid="{00000000-0005-0000-0000-000024130000}"/>
    <cellStyle name="Normal 6 8 2 2" xfId="6984" xr:uid="{00000000-0005-0000-0000-000025130000}"/>
    <cellStyle name="Normal 6 8 3" xfId="6985" xr:uid="{00000000-0005-0000-0000-000026130000}"/>
    <cellStyle name="Normal 6 8 3 2" xfId="6986" xr:uid="{00000000-0005-0000-0000-000027130000}"/>
    <cellStyle name="Normal 6 8 4" xfId="6987" xr:uid="{00000000-0005-0000-0000-000028130000}"/>
    <cellStyle name="Normal 6 9" xfId="6988" xr:uid="{00000000-0005-0000-0000-000029130000}"/>
    <cellStyle name="Normal 6 9 2" xfId="6989" xr:uid="{00000000-0005-0000-0000-00002A130000}"/>
    <cellStyle name="Normal 6 9 2 2" xfId="6990" xr:uid="{00000000-0005-0000-0000-00002B130000}"/>
    <cellStyle name="Normal 6 9 3" xfId="6991" xr:uid="{00000000-0005-0000-0000-00002C130000}"/>
    <cellStyle name="Normal 7" xfId="924" xr:uid="{00000000-0005-0000-0000-00002D130000}"/>
    <cellStyle name="Normal 7 10" xfId="6992" xr:uid="{00000000-0005-0000-0000-00002E130000}"/>
    <cellStyle name="Normal 7 2" xfId="925" xr:uid="{00000000-0005-0000-0000-00002F130000}"/>
    <cellStyle name="Normal 7 2 2" xfId="3746" xr:uid="{00000000-0005-0000-0000-000030130000}"/>
    <cellStyle name="Normal 7 2 2 2" xfId="6993" xr:uid="{00000000-0005-0000-0000-000031130000}"/>
    <cellStyle name="Normal 7 2 2 3" xfId="6994" xr:uid="{00000000-0005-0000-0000-000032130000}"/>
    <cellStyle name="Normal 7 2 2 4" xfId="6995" xr:uid="{00000000-0005-0000-0000-000033130000}"/>
    <cellStyle name="Normal 7 2 3" xfId="6996" xr:uid="{00000000-0005-0000-0000-000034130000}"/>
    <cellStyle name="Normal 7 2 3 2" xfId="6997" xr:uid="{00000000-0005-0000-0000-000035130000}"/>
    <cellStyle name="Normal 7 2 3 2 2" xfId="6998" xr:uid="{00000000-0005-0000-0000-000036130000}"/>
    <cellStyle name="Normal 7 2 3 3" xfId="6999" xr:uid="{00000000-0005-0000-0000-000037130000}"/>
    <cellStyle name="Normal 7 2 4" xfId="7000" xr:uid="{00000000-0005-0000-0000-000038130000}"/>
    <cellStyle name="Normal 7 2 5" xfId="7001" xr:uid="{00000000-0005-0000-0000-000039130000}"/>
    <cellStyle name="Normal 7 2 6" xfId="7002" xr:uid="{00000000-0005-0000-0000-00003A130000}"/>
    <cellStyle name="Normal 7 3" xfId="2583" xr:uid="{00000000-0005-0000-0000-00003B130000}"/>
    <cellStyle name="Normal 7 3 2" xfId="2584" xr:uid="{00000000-0005-0000-0000-00003C130000}"/>
    <cellStyle name="Normal 7 3 2 2" xfId="2585" xr:uid="{00000000-0005-0000-0000-00003D130000}"/>
    <cellStyle name="Normal 7 3 3" xfId="2586" xr:uid="{00000000-0005-0000-0000-00003E130000}"/>
    <cellStyle name="Normal 7 3 3 2" xfId="7003" xr:uid="{00000000-0005-0000-0000-00003F130000}"/>
    <cellStyle name="Normal 7 3 4" xfId="7004" xr:uid="{00000000-0005-0000-0000-000040130000}"/>
    <cellStyle name="Normal 7 3 4 2" xfId="7005" xr:uid="{00000000-0005-0000-0000-000041130000}"/>
    <cellStyle name="Normal 7 3 5" xfId="7006" xr:uid="{00000000-0005-0000-0000-000042130000}"/>
    <cellStyle name="Normal 7 4" xfId="7007" xr:uid="{00000000-0005-0000-0000-000043130000}"/>
    <cellStyle name="Normal 7 4 2" xfId="7008" xr:uid="{00000000-0005-0000-0000-000044130000}"/>
    <cellStyle name="Normal 7 4 2 2" xfId="7009" xr:uid="{00000000-0005-0000-0000-000045130000}"/>
    <cellStyle name="Normal 7 4 3" xfId="7010" xr:uid="{00000000-0005-0000-0000-000046130000}"/>
    <cellStyle name="Normal 7 4 3 2" xfId="7011" xr:uid="{00000000-0005-0000-0000-000047130000}"/>
    <cellStyle name="Normal 7 4 4" xfId="7012" xr:uid="{00000000-0005-0000-0000-000048130000}"/>
    <cellStyle name="Normal 7 5" xfId="7013" xr:uid="{00000000-0005-0000-0000-000049130000}"/>
    <cellStyle name="Normal 7 5 2" xfId="7014" xr:uid="{00000000-0005-0000-0000-00004A130000}"/>
    <cellStyle name="Normal 7 6" xfId="7015" xr:uid="{00000000-0005-0000-0000-00004B130000}"/>
    <cellStyle name="Normal 7 6 2" xfId="7016" xr:uid="{00000000-0005-0000-0000-00004C130000}"/>
    <cellStyle name="Normal 7 7" xfId="7017" xr:uid="{00000000-0005-0000-0000-00004D130000}"/>
    <cellStyle name="Normal 7 7 2" xfId="7018" xr:uid="{00000000-0005-0000-0000-00004E130000}"/>
    <cellStyle name="Normal 7 8" xfId="7019" xr:uid="{00000000-0005-0000-0000-00004F130000}"/>
    <cellStyle name="Normal 7 8 2" xfId="7020" xr:uid="{00000000-0005-0000-0000-000050130000}"/>
    <cellStyle name="Normal 7 9" xfId="7021" xr:uid="{00000000-0005-0000-0000-000051130000}"/>
    <cellStyle name="Normal 8" xfId="926" xr:uid="{00000000-0005-0000-0000-000052130000}"/>
    <cellStyle name="Normal 8 2" xfId="927" xr:uid="{00000000-0005-0000-0000-000053130000}"/>
    <cellStyle name="Normal 8 2 2" xfId="2587" xr:uid="{00000000-0005-0000-0000-000054130000}"/>
    <cellStyle name="Normal 8 2 2 2" xfId="2588" xr:uid="{00000000-0005-0000-0000-000055130000}"/>
    <cellStyle name="Normal 8 2 2 2 2" xfId="2589" xr:uid="{00000000-0005-0000-0000-000056130000}"/>
    <cellStyle name="Normal 8 2 2 3" xfId="2590" xr:uid="{00000000-0005-0000-0000-000057130000}"/>
    <cellStyle name="Normal 8 2 2 4" xfId="4476" xr:uid="{00000000-0005-0000-0000-000058130000}"/>
    <cellStyle name="Normal 8 2 3" xfId="3747" xr:uid="{00000000-0005-0000-0000-000059130000}"/>
    <cellStyle name="Normal 8 2 3 2" xfId="7022" xr:uid="{00000000-0005-0000-0000-00005A130000}"/>
    <cellStyle name="Normal 8 2 3 3" xfId="7023" xr:uid="{00000000-0005-0000-0000-00005B130000}"/>
    <cellStyle name="Normal 8 2 4" xfId="7024" xr:uid="{00000000-0005-0000-0000-00005C130000}"/>
    <cellStyle name="Normal 8 2 4 2" xfId="7025" xr:uid="{00000000-0005-0000-0000-00005D130000}"/>
    <cellStyle name="Normal 8 2 5" xfId="7026" xr:uid="{00000000-0005-0000-0000-00005E130000}"/>
    <cellStyle name="Normal 8 2 6" xfId="7027" xr:uid="{00000000-0005-0000-0000-00005F130000}"/>
    <cellStyle name="Normal 8 3" xfId="2591" xr:uid="{00000000-0005-0000-0000-000060130000}"/>
    <cellStyle name="Normal 8 3 2" xfId="7028" xr:uid="{00000000-0005-0000-0000-000061130000}"/>
    <cellStyle name="Normal 8 3 2 2" xfId="7029" xr:uid="{00000000-0005-0000-0000-000062130000}"/>
    <cellStyle name="Normal 8 3 3" xfId="7030" xr:uid="{00000000-0005-0000-0000-000063130000}"/>
    <cellStyle name="Normal 8 3 3 2" xfId="7031" xr:uid="{00000000-0005-0000-0000-000064130000}"/>
    <cellStyle name="Normal 8 3 4" xfId="7032" xr:uid="{00000000-0005-0000-0000-000065130000}"/>
    <cellStyle name="Normal 8 3 5" xfId="7033" xr:uid="{00000000-0005-0000-0000-000066130000}"/>
    <cellStyle name="Normal 8 4" xfId="7034" xr:uid="{00000000-0005-0000-0000-000067130000}"/>
    <cellStyle name="Normal 8 4 2" xfId="7035" xr:uid="{00000000-0005-0000-0000-000068130000}"/>
    <cellStyle name="Normal 8 5" xfId="7036" xr:uid="{00000000-0005-0000-0000-000069130000}"/>
    <cellStyle name="Normal 8 5 2" xfId="7037" xr:uid="{00000000-0005-0000-0000-00006A130000}"/>
    <cellStyle name="Normal 8 6" xfId="7038" xr:uid="{00000000-0005-0000-0000-00006B130000}"/>
    <cellStyle name="Normal 8 6 2" xfId="7039" xr:uid="{00000000-0005-0000-0000-00006C130000}"/>
    <cellStyle name="Normal 8 7" xfId="7040" xr:uid="{00000000-0005-0000-0000-00006D130000}"/>
    <cellStyle name="Normal 8 7 2" xfId="7041" xr:uid="{00000000-0005-0000-0000-00006E130000}"/>
    <cellStyle name="Normal 8 8" xfId="7042" xr:uid="{00000000-0005-0000-0000-00006F130000}"/>
    <cellStyle name="Normal 9" xfId="928" xr:uid="{00000000-0005-0000-0000-000070130000}"/>
    <cellStyle name="Normal 9 2" xfId="929" xr:uid="{00000000-0005-0000-0000-000071130000}"/>
    <cellStyle name="Normal 9 2 2" xfId="2593" xr:uid="{00000000-0005-0000-0000-000072130000}"/>
    <cellStyle name="Normal 9 2 2 2" xfId="7043" xr:uid="{00000000-0005-0000-0000-000073130000}"/>
    <cellStyle name="Normal 9 2 3" xfId="2592" xr:uid="{00000000-0005-0000-0000-000074130000}"/>
    <cellStyle name="Normal 9 2 3 2" xfId="7044" xr:uid="{00000000-0005-0000-0000-000075130000}"/>
    <cellStyle name="Normal 9 2 4" xfId="7045" xr:uid="{00000000-0005-0000-0000-000076130000}"/>
    <cellStyle name="Normal 9 2 5" xfId="7046" xr:uid="{00000000-0005-0000-0000-000077130000}"/>
    <cellStyle name="Normal 9 3" xfId="1963" xr:uid="{00000000-0005-0000-0000-000078130000}"/>
    <cellStyle name="Normal 9 3 2" xfId="3748" xr:uid="{00000000-0005-0000-0000-000079130000}"/>
    <cellStyle name="Normal 9 4" xfId="7047" xr:uid="{00000000-0005-0000-0000-00007A130000}"/>
    <cellStyle name="Normal 9 4 2" xfId="7048" xr:uid="{00000000-0005-0000-0000-00007B130000}"/>
    <cellStyle name="Normal 9 5" xfId="7049" xr:uid="{00000000-0005-0000-0000-00007C130000}"/>
    <cellStyle name="Normal 9 5 2" xfId="7050" xr:uid="{00000000-0005-0000-0000-00007D130000}"/>
    <cellStyle name="Normal 9 6" xfId="7051" xr:uid="{00000000-0005-0000-0000-00007E130000}"/>
    <cellStyle name="Normal 9 7" xfId="7052" xr:uid="{00000000-0005-0000-0000-00007F130000}"/>
    <cellStyle name="Normal 9 8" xfId="7053" xr:uid="{00000000-0005-0000-0000-000080130000}"/>
    <cellStyle name="Normal GHG Numbers (0.00)" xfId="930" xr:uid="{00000000-0005-0000-0000-000081130000}"/>
    <cellStyle name="Normal GHG Numbers (0.00) 2" xfId="2594" xr:uid="{00000000-0005-0000-0000-000082130000}"/>
    <cellStyle name="Normal GHG Numbers (0.00) 2 2" xfId="7054" xr:uid="{00000000-0005-0000-0000-000083130000}"/>
    <cellStyle name="Normal GHG Numbers (0.00) 2 3" xfId="7055" xr:uid="{00000000-0005-0000-0000-000084130000}"/>
    <cellStyle name="Normal GHG Numbers (0.00) 2 4" xfId="7056" xr:uid="{00000000-0005-0000-0000-000085130000}"/>
    <cellStyle name="Normal GHG Numbers (0.00) 2 5" xfId="7057" xr:uid="{00000000-0005-0000-0000-000086130000}"/>
    <cellStyle name="Normal GHG Numbers (0.00) 3" xfId="2595" xr:uid="{00000000-0005-0000-0000-000087130000}"/>
    <cellStyle name="Normal GHG Numbers (0.00) 4" xfId="7058" xr:uid="{00000000-0005-0000-0000-000088130000}"/>
    <cellStyle name="Normal GHG Numbers (0.00) 5" xfId="7059" xr:uid="{00000000-0005-0000-0000-000089130000}"/>
    <cellStyle name="Normal GHG Numbers (0.00) 6" xfId="7060" xr:uid="{00000000-0005-0000-0000-00008A130000}"/>
    <cellStyle name="Normal GHG Numbers (0.00) 7" xfId="8189" xr:uid="{00000000-0005-0000-0000-00008B130000}"/>
    <cellStyle name="Normal GHG Textfiels Bold" xfId="931" xr:uid="{00000000-0005-0000-0000-00008C130000}"/>
    <cellStyle name="Normal GHG-Shade" xfId="932" xr:uid="{00000000-0005-0000-0000-00008D130000}"/>
    <cellStyle name="Normal GHG-Shade 2" xfId="4477" xr:uid="{00000000-0005-0000-0000-00008E130000}"/>
    <cellStyle name="Normale 10" xfId="933" xr:uid="{00000000-0005-0000-0000-00008F130000}"/>
    <cellStyle name="Normale 10 2" xfId="934" xr:uid="{00000000-0005-0000-0000-000090130000}"/>
    <cellStyle name="Normale 10 2 2" xfId="2596" xr:uid="{00000000-0005-0000-0000-000091130000}"/>
    <cellStyle name="Normale 10 3" xfId="935" xr:uid="{00000000-0005-0000-0000-000092130000}"/>
    <cellStyle name="Normale 10 3 2" xfId="2597" xr:uid="{00000000-0005-0000-0000-000093130000}"/>
    <cellStyle name="Normale 10 4" xfId="2598" xr:uid="{00000000-0005-0000-0000-000094130000}"/>
    <cellStyle name="Normale 10_EDEN industria 2008 rev" xfId="936" xr:uid="{00000000-0005-0000-0000-000095130000}"/>
    <cellStyle name="Normale 11" xfId="937" xr:uid="{00000000-0005-0000-0000-000096130000}"/>
    <cellStyle name="Normale 11 2" xfId="938" xr:uid="{00000000-0005-0000-0000-000097130000}"/>
    <cellStyle name="Normale 11 2 2" xfId="2599" xr:uid="{00000000-0005-0000-0000-000098130000}"/>
    <cellStyle name="Normale 11 3" xfId="939" xr:uid="{00000000-0005-0000-0000-000099130000}"/>
    <cellStyle name="Normale 11 3 2" xfId="2600" xr:uid="{00000000-0005-0000-0000-00009A130000}"/>
    <cellStyle name="Normale 11 4" xfId="2601" xr:uid="{00000000-0005-0000-0000-00009B130000}"/>
    <cellStyle name="Normale 11_EDEN industria 2008 rev" xfId="940" xr:uid="{00000000-0005-0000-0000-00009C130000}"/>
    <cellStyle name="Normale 12" xfId="941" xr:uid="{00000000-0005-0000-0000-00009D130000}"/>
    <cellStyle name="Normale 12 2" xfId="942" xr:uid="{00000000-0005-0000-0000-00009E130000}"/>
    <cellStyle name="Normale 12 2 2" xfId="2602" xr:uid="{00000000-0005-0000-0000-00009F130000}"/>
    <cellStyle name="Normale 12 3" xfId="943" xr:uid="{00000000-0005-0000-0000-0000A0130000}"/>
    <cellStyle name="Normale 12 3 2" xfId="2603" xr:uid="{00000000-0005-0000-0000-0000A1130000}"/>
    <cellStyle name="Normale 12 4" xfId="2604" xr:uid="{00000000-0005-0000-0000-0000A2130000}"/>
    <cellStyle name="Normale 12_EDEN industria 2008 rev" xfId="944" xr:uid="{00000000-0005-0000-0000-0000A3130000}"/>
    <cellStyle name="Normale 13" xfId="945" xr:uid="{00000000-0005-0000-0000-0000A4130000}"/>
    <cellStyle name="Normale 13 2" xfId="946" xr:uid="{00000000-0005-0000-0000-0000A5130000}"/>
    <cellStyle name="Normale 13 2 2" xfId="2605" xr:uid="{00000000-0005-0000-0000-0000A6130000}"/>
    <cellStyle name="Normale 13 3" xfId="947" xr:uid="{00000000-0005-0000-0000-0000A7130000}"/>
    <cellStyle name="Normale 13 3 2" xfId="2606" xr:uid="{00000000-0005-0000-0000-0000A8130000}"/>
    <cellStyle name="Normale 13 4" xfId="2607" xr:uid="{00000000-0005-0000-0000-0000A9130000}"/>
    <cellStyle name="Normale 13_EDEN industria 2008 rev" xfId="948" xr:uid="{00000000-0005-0000-0000-0000AA130000}"/>
    <cellStyle name="Normale 14" xfId="949" xr:uid="{00000000-0005-0000-0000-0000AB130000}"/>
    <cellStyle name="Normale 14 2" xfId="950" xr:uid="{00000000-0005-0000-0000-0000AC130000}"/>
    <cellStyle name="Normale 14 2 2" xfId="2608" xr:uid="{00000000-0005-0000-0000-0000AD130000}"/>
    <cellStyle name="Normale 14 3" xfId="951" xr:uid="{00000000-0005-0000-0000-0000AE130000}"/>
    <cellStyle name="Normale 14 3 2" xfId="2609" xr:uid="{00000000-0005-0000-0000-0000AF130000}"/>
    <cellStyle name="Normale 14 4" xfId="2610" xr:uid="{00000000-0005-0000-0000-0000B0130000}"/>
    <cellStyle name="Normale 14_EDEN industria 2008 rev" xfId="952" xr:uid="{00000000-0005-0000-0000-0000B1130000}"/>
    <cellStyle name="Normale 15" xfId="953" xr:uid="{00000000-0005-0000-0000-0000B2130000}"/>
    <cellStyle name="Normale 15 2" xfId="954" xr:uid="{00000000-0005-0000-0000-0000B3130000}"/>
    <cellStyle name="Normale 15 2 2" xfId="2611" xr:uid="{00000000-0005-0000-0000-0000B4130000}"/>
    <cellStyle name="Normale 15 3" xfId="955" xr:uid="{00000000-0005-0000-0000-0000B5130000}"/>
    <cellStyle name="Normale 15 3 2" xfId="2612" xr:uid="{00000000-0005-0000-0000-0000B6130000}"/>
    <cellStyle name="Normale 15 4" xfId="2613" xr:uid="{00000000-0005-0000-0000-0000B7130000}"/>
    <cellStyle name="Normale 15_EDEN industria 2008 rev" xfId="956" xr:uid="{00000000-0005-0000-0000-0000B8130000}"/>
    <cellStyle name="Normale 16" xfId="957" xr:uid="{00000000-0005-0000-0000-0000B9130000}"/>
    <cellStyle name="Normale 16 2" xfId="2614" xr:uid="{00000000-0005-0000-0000-0000BA130000}"/>
    <cellStyle name="Normale 17" xfId="958" xr:uid="{00000000-0005-0000-0000-0000BB130000}"/>
    <cellStyle name="Normale 17 2" xfId="2615" xr:uid="{00000000-0005-0000-0000-0000BC130000}"/>
    <cellStyle name="Normale 18" xfId="959" xr:uid="{00000000-0005-0000-0000-0000BD130000}"/>
    <cellStyle name="Normale 18 2" xfId="2616" xr:uid="{00000000-0005-0000-0000-0000BE130000}"/>
    <cellStyle name="Normale 19" xfId="960" xr:uid="{00000000-0005-0000-0000-0000BF130000}"/>
    <cellStyle name="Normale 19 2" xfId="2617" xr:uid="{00000000-0005-0000-0000-0000C0130000}"/>
    <cellStyle name="Normale 2" xfId="961" xr:uid="{00000000-0005-0000-0000-0000C1130000}"/>
    <cellStyle name="Normale 2 2" xfId="962" xr:uid="{00000000-0005-0000-0000-0000C2130000}"/>
    <cellStyle name="Normale 2 2 2" xfId="2618" xr:uid="{00000000-0005-0000-0000-0000C3130000}"/>
    <cellStyle name="Normale 2 3" xfId="2619" xr:uid="{00000000-0005-0000-0000-0000C4130000}"/>
    <cellStyle name="Normale 2_EDEN industria 2008 rev" xfId="963" xr:uid="{00000000-0005-0000-0000-0000C5130000}"/>
    <cellStyle name="Normale 20" xfId="964" xr:uid="{00000000-0005-0000-0000-0000C6130000}"/>
    <cellStyle name="Normale 20 2" xfId="2620" xr:uid="{00000000-0005-0000-0000-0000C7130000}"/>
    <cellStyle name="Normale 21" xfId="965" xr:uid="{00000000-0005-0000-0000-0000C8130000}"/>
    <cellStyle name="Normale 21 2" xfId="2621" xr:uid="{00000000-0005-0000-0000-0000C9130000}"/>
    <cellStyle name="Normale 22" xfId="966" xr:uid="{00000000-0005-0000-0000-0000CA130000}"/>
    <cellStyle name="Normale 22 2" xfId="2622" xr:uid="{00000000-0005-0000-0000-0000CB130000}"/>
    <cellStyle name="Normale 23" xfId="967" xr:uid="{00000000-0005-0000-0000-0000CC130000}"/>
    <cellStyle name="Normale 23 2" xfId="2623" xr:uid="{00000000-0005-0000-0000-0000CD130000}"/>
    <cellStyle name="Normale 24" xfId="968" xr:uid="{00000000-0005-0000-0000-0000CE130000}"/>
    <cellStyle name="Normale 24 2" xfId="2624" xr:uid="{00000000-0005-0000-0000-0000CF130000}"/>
    <cellStyle name="Normale 25" xfId="969" xr:uid="{00000000-0005-0000-0000-0000D0130000}"/>
    <cellStyle name="Normale 25 2" xfId="2625" xr:uid="{00000000-0005-0000-0000-0000D1130000}"/>
    <cellStyle name="Normale 26" xfId="970" xr:uid="{00000000-0005-0000-0000-0000D2130000}"/>
    <cellStyle name="Normale 26 2" xfId="2626" xr:uid="{00000000-0005-0000-0000-0000D3130000}"/>
    <cellStyle name="Normale 27" xfId="971" xr:uid="{00000000-0005-0000-0000-0000D4130000}"/>
    <cellStyle name="Normale 27 2" xfId="2627" xr:uid="{00000000-0005-0000-0000-0000D5130000}"/>
    <cellStyle name="Normale 28" xfId="972" xr:uid="{00000000-0005-0000-0000-0000D6130000}"/>
    <cellStyle name="Normale 28 2" xfId="2628" xr:uid="{00000000-0005-0000-0000-0000D7130000}"/>
    <cellStyle name="Normale 29" xfId="973" xr:uid="{00000000-0005-0000-0000-0000D8130000}"/>
    <cellStyle name="Normale 29 2" xfId="2629" xr:uid="{00000000-0005-0000-0000-0000D9130000}"/>
    <cellStyle name="Normale 3" xfId="974" xr:uid="{00000000-0005-0000-0000-0000DA130000}"/>
    <cellStyle name="Normale 3 2" xfId="975" xr:uid="{00000000-0005-0000-0000-0000DB130000}"/>
    <cellStyle name="Normale 3 2 2" xfId="2630" xr:uid="{00000000-0005-0000-0000-0000DC130000}"/>
    <cellStyle name="Normale 3 3" xfId="976" xr:uid="{00000000-0005-0000-0000-0000DD130000}"/>
    <cellStyle name="Normale 3 3 2" xfId="2631" xr:uid="{00000000-0005-0000-0000-0000DE130000}"/>
    <cellStyle name="Normale 3 4" xfId="2632" xr:uid="{00000000-0005-0000-0000-0000DF130000}"/>
    <cellStyle name="Normale 3_EDEN industria 2008 rev" xfId="977" xr:uid="{00000000-0005-0000-0000-0000E0130000}"/>
    <cellStyle name="Normale 30" xfId="978" xr:uid="{00000000-0005-0000-0000-0000E1130000}"/>
    <cellStyle name="Normale 30 2" xfId="2633" xr:uid="{00000000-0005-0000-0000-0000E2130000}"/>
    <cellStyle name="Normale 31" xfId="979" xr:uid="{00000000-0005-0000-0000-0000E3130000}"/>
    <cellStyle name="Normale 31 2" xfId="2634" xr:uid="{00000000-0005-0000-0000-0000E4130000}"/>
    <cellStyle name="Normale 32" xfId="980" xr:uid="{00000000-0005-0000-0000-0000E5130000}"/>
    <cellStyle name="Normale 32 2" xfId="2635" xr:uid="{00000000-0005-0000-0000-0000E6130000}"/>
    <cellStyle name="Normale 33" xfId="981" xr:uid="{00000000-0005-0000-0000-0000E7130000}"/>
    <cellStyle name="Normale 33 2" xfId="2636" xr:uid="{00000000-0005-0000-0000-0000E8130000}"/>
    <cellStyle name="Normale 34" xfId="982" xr:uid="{00000000-0005-0000-0000-0000E9130000}"/>
    <cellStyle name="Normale 34 2" xfId="2637" xr:uid="{00000000-0005-0000-0000-0000EA130000}"/>
    <cellStyle name="Normale 35" xfId="983" xr:uid="{00000000-0005-0000-0000-0000EB130000}"/>
    <cellStyle name="Normale 35 2" xfId="2638" xr:uid="{00000000-0005-0000-0000-0000EC130000}"/>
    <cellStyle name="Normale 36" xfId="984" xr:uid="{00000000-0005-0000-0000-0000ED130000}"/>
    <cellStyle name="Normale 36 2" xfId="2639" xr:uid="{00000000-0005-0000-0000-0000EE130000}"/>
    <cellStyle name="Normale 37" xfId="985" xr:uid="{00000000-0005-0000-0000-0000EF130000}"/>
    <cellStyle name="Normale 37 2" xfId="2640" xr:uid="{00000000-0005-0000-0000-0000F0130000}"/>
    <cellStyle name="Normale 38" xfId="986" xr:uid="{00000000-0005-0000-0000-0000F1130000}"/>
    <cellStyle name="Normale 38 2" xfId="2641" xr:uid="{00000000-0005-0000-0000-0000F2130000}"/>
    <cellStyle name="Normale 39" xfId="987" xr:uid="{00000000-0005-0000-0000-0000F3130000}"/>
    <cellStyle name="Normale 39 2" xfId="2642" xr:uid="{00000000-0005-0000-0000-0000F4130000}"/>
    <cellStyle name="Normale 4" xfId="988" xr:uid="{00000000-0005-0000-0000-0000F5130000}"/>
    <cellStyle name="Normale 4 2" xfId="989" xr:uid="{00000000-0005-0000-0000-0000F6130000}"/>
    <cellStyle name="Normale 4 2 2" xfId="2643" xr:uid="{00000000-0005-0000-0000-0000F7130000}"/>
    <cellStyle name="Normale 4 3" xfId="990" xr:uid="{00000000-0005-0000-0000-0000F8130000}"/>
    <cellStyle name="Normale 4 3 2" xfId="2644" xr:uid="{00000000-0005-0000-0000-0000F9130000}"/>
    <cellStyle name="Normale 4 4" xfId="2645" xr:uid="{00000000-0005-0000-0000-0000FA130000}"/>
    <cellStyle name="Normale 4_EDEN industria 2008 rev" xfId="991" xr:uid="{00000000-0005-0000-0000-0000FB130000}"/>
    <cellStyle name="Normale 40" xfId="992" xr:uid="{00000000-0005-0000-0000-0000FC130000}"/>
    <cellStyle name="Normale 40 2" xfId="2646" xr:uid="{00000000-0005-0000-0000-0000FD130000}"/>
    <cellStyle name="Normale 41" xfId="993" xr:uid="{00000000-0005-0000-0000-0000FE130000}"/>
    <cellStyle name="Normale 41 2" xfId="2647" xr:uid="{00000000-0005-0000-0000-0000FF130000}"/>
    <cellStyle name="Normale 42" xfId="994" xr:uid="{00000000-0005-0000-0000-000000140000}"/>
    <cellStyle name="Normale 42 2" xfId="2648" xr:uid="{00000000-0005-0000-0000-000001140000}"/>
    <cellStyle name="Normale 43" xfId="995" xr:uid="{00000000-0005-0000-0000-000002140000}"/>
    <cellStyle name="Normale 43 2" xfId="2649" xr:uid="{00000000-0005-0000-0000-000003140000}"/>
    <cellStyle name="Normale 44" xfId="996" xr:uid="{00000000-0005-0000-0000-000004140000}"/>
    <cellStyle name="Normale 44 2" xfId="2650" xr:uid="{00000000-0005-0000-0000-000005140000}"/>
    <cellStyle name="Normale 45" xfId="997" xr:uid="{00000000-0005-0000-0000-000006140000}"/>
    <cellStyle name="Normale 45 2" xfId="2651" xr:uid="{00000000-0005-0000-0000-000007140000}"/>
    <cellStyle name="Normale 46" xfId="998" xr:uid="{00000000-0005-0000-0000-000008140000}"/>
    <cellStyle name="Normale 46 2" xfId="2652" xr:uid="{00000000-0005-0000-0000-000009140000}"/>
    <cellStyle name="Normale 47" xfId="999" xr:uid="{00000000-0005-0000-0000-00000A140000}"/>
    <cellStyle name="Normale 47 2" xfId="2653" xr:uid="{00000000-0005-0000-0000-00000B140000}"/>
    <cellStyle name="Normale 48" xfId="1000" xr:uid="{00000000-0005-0000-0000-00000C140000}"/>
    <cellStyle name="Normale 48 2" xfId="2654" xr:uid="{00000000-0005-0000-0000-00000D140000}"/>
    <cellStyle name="Normale 49" xfId="1001" xr:uid="{00000000-0005-0000-0000-00000E140000}"/>
    <cellStyle name="Normale 49 2" xfId="2655" xr:uid="{00000000-0005-0000-0000-00000F140000}"/>
    <cellStyle name="Normale 5" xfId="1002" xr:uid="{00000000-0005-0000-0000-000010140000}"/>
    <cellStyle name="Normale 5 2" xfId="1003" xr:uid="{00000000-0005-0000-0000-000011140000}"/>
    <cellStyle name="Normale 5 2 2" xfId="2656" xr:uid="{00000000-0005-0000-0000-000012140000}"/>
    <cellStyle name="Normale 5 3" xfId="1004" xr:uid="{00000000-0005-0000-0000-000013140000}"/>
    <cellStyle name="Normale 5 3 2" xfId="2657" xr:uid="{00000000-0005-0000-0000-000014140000}"/>
    <cellStyle name="Normale 5 4" xfId="2658" xr:uid="{00000000-0005-0000-0000-000015140000}"/>
    <cellStyle name="Normale 5_EDEN industria 2008 rev" xfId="1005" xr:uid="{00000000-0005-0000-0000-000016140000}"/>
    <cellStyle name="Normale 50" xfId="1006" xr:uid="{00000000-0005-0000-0000-000017140000}"/>
    <cellStyle name="Normale 50 2" xfId="2659" xr:uid="{00000000-0005-0000-0000-000018140000}"/>
    <cellStyle name="Normale 51" xfId="1007" xr:uid="{00000000-0005-0000-0000-000019140000}"/>
    <cellStyle name="Normale 51 2" xfId="2660" xr:uid="{00000000-0005-0000-0000-00001A140000}"/>
    <cellStyle name="Normale 52" xfId="1008" xr:uid="{00000000-0005-0000-0000-00001B140000}"/>
    <cellStyle name="Normale 52 2" xfId="2661" xr:uid="{00000000-0005-0000-0000-00001C140000}"/>
    <cellStyle name="Normale 53" xfId="1009" xr:uid="{00000000-0005-0000-0000-00001D140000}"/>
    <cellStyle name="Normale 53 2" xfId="2662" xr:uid="{00000000-0005-0000-0000-00001E140000}"/>
    <cellStyle name="Normale 54" xfId="1010" xr:uid="{00000000-0005-0000-0000-00001F140000}"/>
    <cellStyle name="Normale 54 2" xfId="2663" xr:uid="{00000000-0005-0000-0000-000020140000}"/>
    <cellStyle name="Normale 55" xfId="1011" xr:uid="{00000000-0005-0000-0000-000021140000}"/>
    <cellStyle name="Normale 55 2" xfId="2664" xr:uid="{00000000-0005-0000-0000-000022140000}"/>
    <cellStyle name="Normale 56" xfId="1012" xr:uid="{00000000-0005-0000-0000-000023140000}"/>
    <cellStyle name="Normale 56 2" xfId="2665" xr:uid="{00000000-0005-0000-0000-000024140000}"/>
    <cellStyle name="Normale 57" xfId="1013" xr:uid="{00000000-0005-0000-0000-000025140000}"/>
    <cellStyle name="Normale 57 2" xfId="2666" xr:uid="{00000000-0005-0000-0000-000026140000}"/>
    <cellStyle name="Normale 58" xfId="1014" xr:uid="{00000000-0005-0000-0000-000027140000}"/>
    <cellStyle name="Normale 58 2" xfId="2667" xr:uid="{00000000-0005-0000-0000-000028140000}"/>
    <cellStyle name="Normale 59" xfId="1015" xr:uid="{00000000-0005-0000-0000-000029140000}"/>
    <cellStyle name="Normale 59 2" xfId="2668" xr:uid="{00000000-0005-0000-0000-00002A140000}"/>
    <cellStyle name="Normale 6" xfId="1016" xr:uid="{00000000-0005-0000-0000-00002B140000}"/>
    <cellStyle name="Normale 6 2" xfId="1017" xr:uid="{00000000-0005-0000-0000-00002C140000}"/>
    <cellStyle name="Normale 6 2 2" xfId="2669" xr:uid="{00000000-0005-0000-0000-00002D140000}"/>
    <cellStyle name="Normale 6 3" xfId="1018" xr:uid="{00000000-0005-0000-0000-00002E140000}"/>
    <cellStyle name="Normale 6 3 2" xfId="2670" xr:uid="{00000000-0005-0000-0000-00002F140000}"/>
    <cellStyle name="Normale 6 4" xfId="2671" xr:uid="{00000000-0005-0000-0000-000030140000}"/>
    <cellStyle name="Normale 6_EDEN industria 2008 rev" xfId="1019" xr:uid="{00000000-0005-0000-0000-000031140000}"/>
    <cellStyle name="Normale 60" xfId="1020" xr:uid="{00000000-0005-0000-0000-000032140000}"/>
    <cellStyle name="Normale 60 2" xfId="2672" xr:uid="{00000000-0005-0000-0000-000033140000}"/>
    <cellStyle name="Normale 61" xfId="1021" xr:uid="{00000000-0005-0000-0000-000034140000}"/>
    <cellStyle name="Normale 61 2" xfId="2673" xr:uid="{00000000-0005-0000-0000-000035140000}"/>
    <cellStyle name="Normale 62" xfId="1022" xr:uid="{00000000-0005-0000-0000-000036140000}"/>
    <cellStyle name="Normale 62 2" xfId="2674" xr:uid="{00000000-0005-0000-0000-000037140000}"/>
    <cellStyle name="Normale 63" xfId="1023" xr:uid="{00000000-0005-0000-0000-000038140000}"/>
    <cellStyle name="Normale 63 2" xfId="2675" xr:uid="{00000000-0005-0000-0000-000039140000}"/>
    <cellStyle name="Normale 64" xfId="1024" xr:uid="{00000000-0005-0000-0000-00003A140000}"/>
    <cellStyle name="Normale 64 2" xfId="2676" xr:uid="{00000000-0005-0000-0000-00003B140000}"/>
    <cellStyle name="Normale 65" xfId="1025" xr:uid="{00000000-0005-0000-0000-00003C140000}"/>
    <cellStyle name="Normale 65 2" xfId="2677" xr:uid="{00000000-0005-0000-0000-00003D140000}"/>
    <cellStyle name="Normale 7" xfId="1026" xr:uid="{00000000-0005-0000-0000-00003E140000}"/>
    <cellStyle name="Normale 7 2" xfId="1027" xr:uid="{00000000-0005-0000-0000-00003F140000}"/>
    <cellStyle name="Normale 7 2 2" xfId="2678" xr:uid="{00000000-0005-0000-0000-000040140000}"/>
    <cellStyle name="Normale 7 3" xfId="1028" xr:uid="{00000000-0005-0000-0000-000041140000}"/>
    <cellStyle name="Normale 7 3 2" xfId="2679" xr:uid="{00000000-0005-0000-0000-000042140000}"/>
    <cellStyle name="Normale 7 4" xfId="2680" xr:uid="{00000000-0005-0000-0000-000043140000}"/>
    <cellStyle name="Normale 7_EDEN industria 2008 rev" xfId="1029" xr:uid="{00000000-0005-0000-0000-000044140000}"/>
    <cellStyle name="Normale 8" xfId="1030" xr:uid="{00000000-0005-0000-0000-000045140000}"/>
    <cellStyle name="Normale 8 2" xfId="1031" xr:uid="{00000000-0005-0000-0000-000046140000}"/>
    <cellStyle name="Normale 8 2 2" xfId="2681" xr:uid="{00000000-0005-0000-0000-000047140000}"/>
    <cellStyle name="Normale 8 3" xfId="1032" xr:uid="{00000000-0005-0000-0000-000048140000}"/>
    <cellStyle name="Normale 8 3 2" xfId="2682" xr:uid="{00000000-0005-0000-0000-000049140000}"/>
    <cellStyle name="Normale 8 4" xfId="2683" xr:uid="{00000000-0005-0000-0000-00004A140000}"/>
    <cellStyle name="Normale 8_EDEN industria 2008 rev" xfId="1033" xr:uid="{00000000-0005-0000-0000-00004B140000}"/>
    <cellStyle name="Normale 9" xfId="1034" xr:uid="{00000000-0005-0000-0000-00004C140000}"/>
    <cellStyle name="Normale 9 2" xfId="1035" xr:uid="{00000000-0005-0000-0000-00004D140000}"/>
    <cellStyle name="Normale 9 2 2" xfId="2684" xr:uid="{00000000-0005-0000-0000-00004E140000}"/>
    <cellStyle name="Normale 9 3" xfId="1036" xr:uid="{00000000-0005-0000-0000-00004F140000}"/>
    <cellStyle name="Normale 9 3 2" xfId="2685" xr:uid="{00000000-0005-0000-0000-000050140000}"/>
    <cellStyle name="Normale 9 4" xfId="2686" xr:uid="{00000000-0005-0000-0000-000051140000}"/>
    <cellStyle name="Normale 9_EDEN industria 2008 rev" xfId="1037" xr:uid="{00000000-0005-0000-0000-000052140000}"/>
    <cellStyle name="Normale_B2020" xfId="1038" xr:uid="{00000000-0005-0000-0000-000053140000}"/>
    <cellStyle name="Nota" xfId="1039" xr:uid="{00000000-0005-0000-0000-000054140000}"/>
    <cellStyle name="Nota 10" xfId="7061" xr:uid="{00000000-0005-0000-0000-000055140000}"/>
    <cellStyle name="Nota 2" xfId="1040" xr:uid="{00000000-0005-0000-0000-000056140000}"/>
    <cellStyle name="Nota 2 2" xfId="2687" xr:uid="{00000000-0005-0000-0000-000057140000}"/>
    <cellStyle name="Nota 2 3" xfId="7062" xr:uid="{00000000-0005-0000-0000-000058140000}"/>
    <cellStyle name="Nota 2 4" xfId="7063" xr:uid="{00000000-0005-0000-0000-000059140000}"/>
    <cellStyle name="Nota 2 5" xfId="7064" xr:uid="{00000000-0005-0000-0000-00005A140000}"/>
    <cellStyle name="Nota 2 6" xfId="7065" xr:uid="{00000000-0005-0000-0000-00005B140000}"/>
    <cellStyle name="Nota 3" xfId="1041" xr:uid="{00000000-0005-0000-0000-00005C140000}"/>
    <cellStyle name="Nota 3 2" xfId="1042" xr:uid="{00000000-0005-0000-0000-00005D140000}"/>
    <cellStyle name="Nota 3 2 2" xfId="2689" xr:uid="{00000000-0005-0000-0000-00005E140000}"/>
    <cellStyle name="Nota 3 2 2 2" xfId="2690" xr:uid="{00000000-0005-0000-0000-00005F140000}"/>
    <cellStyle name="Nota 3 2 3" xfId="2691" xr:uid="{00000000-0005-0000-0000-000060140000}"/>
    <cellStyle name="Nota 3 2 4" xfId="2688" xr:uid="{00000000-0005-0000-0000-000061140000}"/>
    <cellStyle name="Nota 3 2 5" xfId="7066" xr:uid="{00000000-0005-0000-0000-000062140000}"/>
    <cellStyle name="Nota 3 2 6" xfId="7067" xr:uid="{00000000-0005-0000-0000-000063140000}"/>
    <cellStyle name="Nota 3 3" xfId="2692" xr:uid="{00000000-0005-0000-0000-000064140000}"/>
    <cellStyle name="Nota 3 3 2" xfId="4479" xr:uid="{00000000-0005-0000-0000-000065140000}"/>
    <cellStyle name="Nota 3 4" xfId="4478" xr:uid="{00000000-0005-0000-0000-000066140000}"/>
    <cellStyle name="Nota 3 5" xfId="7068" xr:uid="{00000000-0005-0000-0000-000067140000}"/>
    <cellStyle name="Nota 3 6" xfId="7069" xr:uid="{00000000-0005-0000-0000-000068140000}"/>
    <cellStyle name="Nota 3 7" xfId="7070" xr:uid="{00000000-0005-0000-0000-000069140000}"/>
    <cellStyle name="Nota 4" xfId="1043" xr:uid="{00000000-0005-0000-0000-00006A140000}"/>
    <cellStyle name="Nota 4 2" xfId="2693" xr:uid="{00000000-0005-0000-0000-00006B140000}"/>
    <cellStyle name="Nota 4 2 2" xfId="2694" xr:uid="{00000000-0005-0000-0000-00006C140000}"/>
    <cellStyle name="Nota 4 3" xfId="2695" xr:uid="{00000000-0005-0000-0000-00006D140000}"/>
    <cellStyle name="Nota 4 4" xfId="7071" xr:uid="{00000000-0005-0000-0000-00006E140000}"/>
    <cellStyle name="Nota 4 5" xfId="7072" xr:uid="{00000000-0005-0000-0000-00006F140000}"/>
    <cellStyle name="Nota 4 6" xfId="7073" xr:uid="{00000000-0005-0000-0000-000070140000}"/>
    <cellStyle name="Nota 5" xfId="1044" xr:uid="{00000000-0005-0000-0000-000071140000}"/>
    <cellStyle name="Nota 5 2" xfId="2696" xr:uid="{00000000-0005-0000-0000-000072140000}"/>
    <cellStyle name="Nota 5 3" xfId="7074" xr:uid="{00000000-0005-0000-0000-000073140000}"/>
    <cellStyle name="Nota 5 4" xfId="7075" xr:uid="{00000000-0005-0000-0000-000074140000}"/>
    <cellStyle name="Nota 5 5" xfId="7076" xr:uid="{00000000-0005-0000-0000-000075140000}"/>
    <cellStyle name="Nota 5 6" xfId="7077" xr:uid="{00000000-0005-0000-0000-000076140000}"/>
    <cellStyle name="Nota 6" xfId="1045" xr:uid="{00000000-0005-0000-0000-000077140000}"/>
    <cellStyle name="Nota 6 2" xfId="2697" xr:uid="{00000000-0005-0000-0000-000078140000}"/>
    <cellStyle name="Nota 7" xfId="7078" xr:uid="{00000000-0005-0000-0000-000079140000}"/>
    <cellStyle name="Nota 8" xfId="7079" xr:uid="{00000000-0005-0000-0000-00007A140000}"/>
    <cellStyle name="Nota 9" xfId="7080" xr:uid="{00000000-0005-0000-0000-00007B140000}"/>
    <cellStyle name="Note 2" xfId="2698" xr:uid="{00000000-0005-0000-0000-00007C140000}"/>
    <cellStyle name="Note 2 2" xfId="2699" xr:uid="{00000000-0005-0000-0000-00007D140000}"/>
    <cellStyle name="Note 2 2 2" xfId="2700" xr:uid="{00000000-0005-0000-0000-00007E140000}"/>
    <cellStyle name="Note 2 3" xfId="2701" xr:uid="{00000000-0005-0000-0000-00007F140000}"/>
    <cellStyle name="Note 3" xfId="7081" xr:uid="{00000000-0005-0000-0000-000080140000}"/>
    <cellStyle name="Note 4" xfId="7082" xr:uid="{00000000-0005-0000-0000-000081140000}"/>
    <cellStyle name="Nuovo" xfId="1046" xr:uid="{00000000-0005-0000-0000-000082140000}"/>
    <cellStyle name="Nuovo 10" xfId="1047" xr:uid="{00000000-0005-0000-0000-000083140000}"/>
    <cellStyle name="Nuovo 10 2" xfId="1048" xr:uid="{00000000-0005-0000-0000-000084140000}"/>
    <cellStyle name="Nuovo 10 2 2" xfId="4480" xr:uid="{00000000-0005-0000-0000-000085140000}"/>
    <cellStyle name="Nuovo 10 3" xfId="1049" xr:uid="{00000000-0005-0000-0000-000086140000}"/>
    <cellStyle name="Nuovo 10 3 2" xfId="1050" xr:uid="{00000000-0005-0000-0000-000087140000}"/>
    <cellStyle name="Nuovo 10 3 2 2" xfId="2703" xr:uid="{00000000-0005-0000-0000-000088140000}"/>
    <cellStyle name="Nuovo 10 3 2 3" xfId="2702" xr:uid="{00000000-0005-0000-0000-000089140000}"/>
    <cellStyle name="Nuovo 10 3 3" xfId="3749" xr:uid="{00000000-0005-0000-0000-00008A140000}"/>
    <cellStyle name="Nuovo 10 3 3 2" xfId="4482" xr:uid="{00000000-0005-0000-0000-00008B140000}"/>
    <cellStyle name="Nuovo 10 3 4" xfId="4481" xr:uid="{00000000-0005-0000-0000-00008C140000}"/>
    <cellStyle name="Nuovo 10 4" xfId="1051" xr:uid="{00000000-0005-0000-0000-00008D140000}"/>
    <cellStyle name="Nuovo 10 4 2" xfId="2704" xr:uid="{00000000-0005-0000-0000-00008E140000}"/>
    <cellStyle name="Nuovo 10 4 2 2" xfId="4484" xr:uid="{00000000-0005-0000-0000-00008F140000}"/>
    <cellStyle name="Nuovo 10 4 3" xfId="4483" xr:uid="{00000000-0005-0000-0000-000090140000}"/>
    <cellStyle name="Nuovo 10 5" xfId="1052" xr:uid="{00000000-0005-0000-0000-000091140000}"/>
    <cellStyle name="Nuovo 10 6" xfId="1053" xr:uid="{00000000-0005-0000-0000-000092140000}"/>
    <cellStyle name="Nuovo 11" xfId="1054" xr:uid="{00000000-0005-0000-0000-000093140000}"/>
    <cellStyle name="Nuovo 11 2" xfId="1055" xr:uid="{00000000-0005-0000-0000-000094140000}"/>
    <cellStyle name="Nuovo 11 2 2" xfId="4485" xr:uid="{00000000-0005-0000-0000-000095140000}"/>
    <cellStyle name="Nuovo 11 3" xfId="1056" xr:uid="{00000000-0005-0000-0000-000096140000}"/>
    <cellStyle name="Nuovo 11 3 2" xfId="1057" xr:uid="{00000000-0005-0000-0000-000097140000}"/>
    <cellStyle name="Nuovo 11 3 2 2" xfId="2706" xr:uid="{00000000-0005-0000-0000-000098140000}"/>
    <cellStyle name="Nuovo 11 3 2 3" xfId="2705" xr:uid="{00000000-0005-0000-0000-000099140000}"/>
    <cellStyle name="Nuovo 11 3 3" xfId="3750" xr:uid="{00000000-0005-0000-0000-00009A140000}"/>
    <cellStyle name="Nuovo 11 3 3 2" xfId="4487" xr:uid="{00000000-0005-0000-0000-00009B140000}"/>
    <cellStyle name="Nuovo 11 3 4" xfId="4486" xr:uid="{00000000-0005-0000-0000-00009C140000}"/>
    <cellStyle name="Nuovo 11 4" xfId="1058" xr:uid="{00000000-0005-0000-0000-00009D140000}"/>
    <cellStyle name="Nuovo 11 4 2" xfId="2707" xr:uid="{00000000-0005-0000-0000-00009E140000}"/>
    <cellStyle name="Nuovo 11 4 2 2" xfId="4489" xr:uid="{00000000-0005-0000-0000-00009F140000}"/>
    <cellStyle name="Nuovo 11 4 3" xfId="4488" xr:uid="{00000000-0005-0000-0000-0000A0140000}"/>
    <cellStyle name="Nuovo 11 5" xfId="1059" xr:uid="{00000000-0005-0000-0000-0000A1140000}"/>
    <cellStyle name="Nuovo 11 6" xfId="1060" xr:uid="{00000000-0005-0000-0000-0000A2140000}"/>
    <cellStyle name="Nuovo 12" xfId="1061" xr:uid="{00000000-0005-0000-0000-0000A3140000}"/>
    <cellStyle name="Nuovo 12 2" xfId="1062" xr:uid="{00000000-0005-0000-0000-0000A4140000}"/>
    <cellStyle name="Nuovo 12 2 2" xfId="4490" xr:uid="{00000000-0005-0000-0000-0000A5140000}"/>
    <cellStyle name="Nuovo 12 3" xfId="1063" xr:uid="{00000000-0005-0000-0000-0000A6140000}"/>
    <cellStyle name="Nuovo 12 3 2" xfId="1064" xr:uid="{00000000-0005-0000-0000-0000A7140000}"/>
    <cellStyle name="Nuovo 12 3 2 2" xfId="2709" xr:uid="{00000000-0005-0000-0000-0000A8140000}"/>
    <cellStyle name="Nuovo 12 3 2 3" xfId="2708" xr:uid="{00000000-0005-0000-0000-0000A9140000}"/>
    <cellStyle name="Nuovo 12 3 3" xfId="3751" xr:uid="{00000000-0005-0000-0000-0000AA140000}"/>
    <cellStyle name="Nuovo 12 3 3 2" xfId="4492" xr:uid="{00000000-0005-0000-0000-0000AB140000}"/>
    <cellStyle name="Nuovo 12 3 4" xfId="4491" xr:uid="{00000000-0005-0000-0000-0000AC140000}"/>
    <cellStyle name="Nuovo 12 4" xfId="1065" xr:uid="{00000000-0005-0000-0000-0000AD140000}"/>
    <cellStyle name="Nuovo 12 4 2" xfId="2710" xr:uid="{00000000-0005-0000-0000-0000AE140000}"/>
    <cellStyle name="Nuovo 12 4 2 2" xfId="4494" xr:uid="{00000000-0005-0000-0000-0000AF140000}"/>
    <cellStyle name="Nuovo 12 4 3" xfId="4493" xr:uid="{00000000-0005-0000-0000-0000B0140000}"/>
    <cellStyle name="Nuovo 12 5" xfId="1066" xr:uid="{00000000-0005-0000-0000-0000B1140000}"/>
    <cellStyle name="Nuovo 12 6" xfId="1067" xr:uid="{00000000-0005-0000-0000-0000B2140000}"/>
    <cellStyle name="Nuovo 13" xfId="1068" xr:uid="{00000000-0005-0000-0000-0000B3140000}"/>
    <cellStyle name="Nuovo 13 2" xfId="1069" xr:uid="{00000000-0005-0000-0000-0000B4140000}"/>
    <cellStyle name="Nuovo 13 2 2" xfId="4495" xr:uid="{00000000-0005-0000-0000-0000B5140000}"/>
    <cellStyle name="Nuovo 13 3" xfId="1070" xr:uid="{00000000-0005-0000-0000-0000B6140000}"/>
    <cellStyle name="Nuovo 13 3 2" xfId="1071" xr:uid="{00000000-0005-0000-0000-0000B7140000}"/>
    <cellStyle name="Nuovo 13 3 2 2" xfId="2712" xr:uid="{00000000-0005-0000-0000-0000B8140000}"/>
    <cellStyle name="Nuovo 13 3 2 3" xfId="2711" xr:uid="{00000000-0005-0000-0000-0000B9140000}"/>
    <cellStyle name="Nuovo 13 3 3" xfId="3752" xr:uid="{00000000-0005-0000-0000-0000BA140000}"/>
    <cellStyle name="Nuovo 13 3 3 2" xfId="4497" xr:uid="{00000000-0005-0000-0000-0000BB140000}"/>
    <cellStyle name="Nuovo 13 3 4" xfId="4496" xr:uid="{00000000-0005-0000-0000-0000BC140000}"/>
    <cellStyle name="Nuovo 13 4" xfId="1072" xr:uid="{00000000-0005-0000-0000-0000BD140000}"/>
    <cellStyle name="Nuovo 13 4 2" xfId="2713" xr:uid="{00000000-0005-0000-0000-0000BE140000}"/>
    <cellStyle name="Nuovo 13 4 2 2" xfId="4499" xr:uid="{00000000-0005-0000-0000-0000BF140000}"/>
    <cellStyle name="Nuovo 13 4 3" xfId="4498" xr:uid="{00000000-0005-0000-0000-0000C0140000}"/>
    <cellStyle name="Nuovo 13 5" xfId="1073" xr:uid="{00000000-0005-0000-0000-0000C1140000}"/>
    <cellStyle name="Nuovo 13 6" xfId="1074" xr:uid="{00000000-0005-0000-0000-0000C2140000}"/>
    <cellStyle name="Nuovo 14" xfId="1075" xr:uid="{00000000-0005-0000-0000-0000C3140000}"/>
    <cellStyle name="Nuovo 14 2" xfId="1076" xr:uid="{00000000-0005-0000-0000-0000C4140000}"/>
    <cellStyle name="Nuovo 14 2 2" xfId="4500" xr:uid="{00000000-0005-0000-0000-0000C5140000}"/>
    <cellStyle name="Nuovo 14 3" xfId="1077" xr:uid="{00000000-0005-0000-0000-0000C6140000}"/>
    <cellStyle name="Nuovo 14 3 2" xfId="1078" xr:uid="{00000000-0005-0000-0000-0000C7140000}"/>
    <cellStyle name="Nuovo 14 3 2 2" xfId="2715" xr:uid="{00000000-0005-0000-0000-0000C8140000}"/>
    <cellStyle name="Nuovo 14 3 2 3" xfId="2714" xr:uid="{00000000-0005-0000-0000-0000C9140000}"/>
    <cellStyle name="Nuovo 14 3 3" xfId="3753" xr:uid="{00000000-0005-0000-0000-0000CA140000}"/>
    <cellStyle name="Nuovo 14 3 3 2" xfId="4502" xr:uid="{00000000-0005-0000-0000-0000CB140000}"/>
    <cellStyle name="Nuovo 14 3 4" xfId="4501" xr:uid="{00000000-0005-0000-0000-0000CC140000}"/>
    <cellStyle name="Nuovo 14 4" xfId="1079" xr:uid="{00000000-0005-0000-0000-0000CD140000}"/>
    <cellStyle name="Nuovo 14 4 2" xfId="2716" xr:uid="{00000000-0005-0000-0000-0000CE140000}"/>
    <cellStyle name="Nuovo 14 4 2 2" xfId="4504" xr:uid="{00000000-0005-0000-0000-0000CF140000}"/>
    <cellStyle name="Nuovo 14 4 3" xfId="4503" xr:uid="{00000000-0005-0000-0000-0000D0140000}"/>
    <cellStyle name="Nuovo 14 5" xfId="1080" xr:uid="{00000000-0005-0000-0000-0000D1140000}"/>
    <cellStyle name="Nuovo 14 6" xfId="1081" xr:uid="{00000000-0005-0000-0000-0000D2140000}"/>
    <cellStyle name="Nuovo 15" xfId="1082" xr:uid="{00000000-0005-0000-0000-0000D3140000}"/>
    <cellStyle name="Nuovo 15 2" xfId="1083" xr:uid="{00000000-0005-0000-0000-0000D4140000}"/>
    <cellStyle name="Nuovo 15 2 2" xfId="4505" xr:uid="{00000000-0005-0000-0000-0000D5140000}"/>
    <cellStyle name="Nuovo 15 3" xfId="1084" xr:uid="{00000000-0005-0000-0000-0000D6140000}"/>
    <cellStyle name="Nuovo 15 3 2" xfId="1085" xr:uid="{00000000-0005-0000-0000-0000D7140000}"/>
    <cellStyle name="Nuovo 15 3 2 2" xfId="2718" xr:uid="{00000000-0005-0000-0000-0000D8140000}"/>
    <cellStyle name="Nuovo 15 3 2 3" xfId="2717" xr:uid="{00000000-0005-0000-0000-0000D9140000}"/>
    <cellStyle name="Nuovo 15 3 3" xfId="3754" xr:uid="{00000000-0005-0000-0000-0000DA140000}"/>
    <cellStyle name="Nuovo 15 3 3 2" xfId="4507" xr:uid="{00000000-0005-0000-0000-0000DB140000}"/>
    <cellStyle name="Nuovo 15 3 4" xfId="4506" xr:uid="{00000000-0005-0000-0000-0000DC140000}"/>
    <cellStyle name="Nuovo 15 4" xfId="1086" xr:uid="{00000000-0005-0000-0000-0000DD140000}"/>
    <cellStyle name="Nuovo 15 4 2" xfId="2719" xr:uid="{00000000-0005-0000-0000-0000DE140000}"/>
    <cellStyle name="Nuovo 15 4 2 2" xfId="4509" xr:uid="{00000000-0005-0000-0000-0000DF140000}"/>
    <cellStyle name="Nuovo 15 4 3" xfId="4508" xr:uid="{00000000-0005-0000-0000-0000E0140000}"/>
    <cellStyle name="Nuovo 15 5" xfId="1087" xr:uid="{00000000-0005-0000-0000-0000E1140000}"/>
    <cellStyle name="Nuovo 15 6" xfId="1088" xr:uid="{00000000-0005-0000-0000-0000E2140000}"/>
    <cellStyle name="Nuovo 16" xfId="1089" xr:uid="{00000000-0005-0000-0000-0000E3140000}"/>
    <cellStyle name="Nuovo 16 2" xfId="1090" xr:uid="{00000000-0005-0000-0000-0000E4140000}"/>
    <cellStyle name="Nuovo 16 2 2" xfId="4510" xr:uid="{00000000-0005-0000-0000-0000E5140000}"/>
    <cellStyle name="Nuovo 16 3" xfId="1091" xr:uid="{00000000-0005-0000-0000-0000E6140000}"/>
    <cellStyle name="Nuovo 16 3 2" xfId="1092" xr:uid="{00000000-0005-0000-0000-0000E7140000}"/>
    <cellStyle name="Nuovo 16 3 2 2" xfId="2721" xr:uid="{00000000-0005-0000-0000-0000E8140000}"/>
    <cellStyle name="Nuovo 16 3 2 3" xfId="2720" xr:uid="{00000000-0005-0000-0000-0000E9140000}"/>
    <cellStyle name="Nuovo 16 3 3" xfId="3755" xr:uid="{00000000-0005-0000-0000-0000EA140000}"/>
    <cellStyle name="Nuovo 16 3 3 2" xfId="4512" xr:uid="{00000000-0005-0000-0000-0000EB140000}"/>
    <cellStyle name="Nuovo 16 3 4" xfId="4511" xr:uid="{00000000-0005-0000-0000-0000EC140000}"/>
    <cellStyle name="Nuovo 16 4" xfId="1093" xr:uid="{00000000-0005-0000-0000-0000ED140000}"/>
    <cellStyle name="Nuovo 16 4 2" xfId="2722" xr:uid="{00000000-0005-0000-0000-0000EE140000}"/>
    <cellStyle name="Nuovo 16 4 2 2" xfId="4514" xr:uid="{00000000-0005-0000-0000-0000EF140000}"/>
    <cellStyle name="Nuovo 16 4 3" xfId="4513" xr:uid="{00000000-0005-0000-0000-0000F0140000}"/>
    <cellStyle name="Nuovo 16 5" xfId="1094" xr:uid="{00000000-0005-0000-0000-0000F1140000}"/>
    <cellStyle name="Nuovo 16 6" xfId="1095" xr:uid="{00000000-0005-0000-0000-0000F2140000}"/>
    <cellStyle name="Nuovo 17" xfId="1096" xr:uid="{00000000-0005-0000-0000-0000F3140000}"/>
    <cellStyle name="Nuovo 17 2" xfId="1097" xr:uid="{00000000-0005-0000-0000-0000F4140000}"/>
    <cellStyle name="Nuovo 17 2 2" xfId="4515" xr:uid="{00000000-0005-0000-0000-0000F5140000}"/>
    <cellStyle name="Nuovo 17 3" xfId="1098" xr:uid="{00000000-0005-0000-0000-0000F6140000}"/>
    <cellStyle name="Nuovo 17 3 2" xfId="1099" xr:uid="{00000000-0005-0000-0000-0000F7140000}"/>
    <cellStyle name="Nuovo 17 3 2 2" xfId="2724" xr:uid="{00000000-0005-0000-0000-0000F8140000}"/>
    <cellStyle name="Nuovo 17 3 2 3" xfId="2723" xr:uid="{00000000-0005-0000-0000-0000F9140000}"/>
    <cellStyle name="Nuovo 17 3 3" xfId="3756" xr:uid="{00000000-0005-0000-0000-0000FA140000}"/>
    <cellStyle name="Nuovo 17 3 3 2" xfId="4517" xr:uid="{00000000-0005-0000-0000-0000FB140000}"/>
    <cellStyle name="Nuovo 17 3 4" xfId="4516" xr:uid="{00000000-0005-0000-0000-0000FC140000}"/>
    <cellStyle name="Nuovo 17 4" xfId="1100" xr:uid="{00000000-0005-0000-0000-0000FD140000}"/>
    <cellStyle name="Nuovo 17 4 2" xfId="2725" xr:uid="{00000000-0005-0000-0000-0000FE140000}"/>
    <cellStyle name="Nuovo 17 4 2 2" xfId="4519" xr:uid="{00000000-0005-0000-0000-0000FF140000}"/>
    <cellStyle name="Nuovo 17 4 3" xfId="4518" xr:uid="{00000000-0005-0000-0000-000000150000}"/>
    <cellStyle name="Nuovo 17 5" xfId="1101" xr:uid="{00000000-0005-0000-0000-000001150000}"/>
    <cellStyle name="Nuovo 17 6" xfId="1102" xr:uid="{00000000-0005-0000-0000-000002150000}"/>
    <cellStyle name="Nuovo 18" xfId="1103" xr:uid="{00000000-0005-0000-0000-000003150000}"/>
    <cellStyle name="Nuovo 18 2" xfId="1104" xr:uid="{00000000-0005-0000-0000-000004150000}"/>
    <cellStyle name="Nuovo 18 2 2" xfId="4520" xr:uid="{00000000-0005-0000-0000-000005150000}"/>
    <cellStyle name="Nuovo 18 3" xfId="1105" xr:uid="{00000000-0005-0000-0000-000006150000}"/>
    <cellStyle name="Nuovo 18 3 2" xfId="1106" xr:uid="{00000000-0005-0000-0000-000007150000}"/>
    <cellStyle name="Nuovo 18 3 2 2" xfId="2727" xr:uid="{00000000-0005-0000-0000-000008150000}"/>
    <cellStyle name="Nuovo 18 3 2 3" xfId="2726" xr:uid="{00000000-0005-0000-0000-000009150000}"/>
    <cellStyle name="Nuovo 18 3 3" xfId="3757" xr:uid="{00000000-0005-0000-0000-00000A150000}"/>
    <cellStyle name="Nuovo 18 3 3 2" xfId="4522" xr:uid="{00000000-0005-0000-0000-00000B150000}"/>
    <cellStyle name="Nuovo 18 3 4" xfId="4521" xr:uid="{00000000-0005-0000-0000-00000C150000}"/>
    <cellStyle name="Nuovo 18 4" xfId="1107" xr:uid="{00000000-0005-0000-0000-00000D150000}"/>
    <cellStyle name="Nuovo 18 4 2" xfId="2728" xr:uid="{00000000-0005-0000-0000-00000E150000}"/>
    <cellStyle name="Nuovo 18 4 2 2" xfId="4524" xr:uid="{00000000-0005-0000-0000-00000F150000}"/>
    <cellStyle name="Nuovo 18 4 3" xfId="4523" xr:uid="{00000000-0005-0000-0000-000010150000}"/>
    <cellStyle name="Nuovo 18 5" xfId="1108" xr:uid="{00000000-0005-0000-0000-000011150000}"/>
    <cellStyle name="Nuovo 18 6" xfId="1109" xr:uid="{00000000-0005-0000-0000-000012150000}"/>
    <cellStyle name="Nuovo 19" xfId="1110" xr:uid="{00000000-0005-0000-0000-000013150000}"/>
    <cellStyle name="Nuovo 19 2" xfId="1111" xr:uid="{00000000-0005-0000-0000-000014150000}"/>
    <cellStyle name="Nuovo 19 2 2" xfId="4525" xr:uid="{00000000-0005-0000-0000-000015150000}"/>
    <cellStyle name="Nuovo 19 3" xfId="1112" xr:uid="{00000000-0005-0000-0000-000016150000}"/>
    <cellStyle name="Nuovo 19 3 2" xfId="1113" xr:uid="{00000000-0005-0000-0000-000017150000}"/>
    <cellStyle name="Nuovo 19 3 2 2" xfId="2730" xr:uid="{00000000-0005-0000-0000-000018150000}"/>
    <cellStyle name="Nuovo 19 3 2 3" xfId="2729" xr:uid="{00000000-0005-0000-0000-000019150000}"/>
    <cellStyle name="Nuovo 19 3 3" xfId="3758" xr:uid="{00000000-0005-0000-0000-00001A150000}"/>
    <cellStyle name="Nuovo 19 3 3 2" xfId="4527" xr:uid="{00000000-0005-0000-0000-00001B150000}"/>
    <cellStyle name="Nuovo 19 3 4" xfId="4526" xr:uid="{00000000-0005-0000-0000-00001C150000}"/>
    <cellStyle name="Nuovo 19 4" xfId="1114" xr:uid="{00000000-0005-0000-0000-00001D150000}"/>
    <cellStyle name="Nuovo 19 4 2" xfId="2731" xr:uid="{00000000-0005-0000-0000-00001E150000}"/>
    <cellStyle name="Nuovo 19 4 2 2" xfId="4529" xr:uid="{00000000-0005-0000-0000-00001F150000}"/>
    <cellStyle name="Nuovo 19 4 3" xfId="4528" xr:uid="{00000000-0005-0000-0000-000020150000}"/>
    <cellStyle name="Nuovo 19 5" xfId="1115" xr:uid="{00000000-0005-0000-0000-000021150000}"/>
    <cellStyle name="Nuovo 19 6" xfId="1116" xr:uid="{00000000-0005-0000-0000-000022150000}"/>
    <cellStyle name="Nuovo 2" xfId="1117" xr:uid="{00000000-0005-0000-0000-000023150000}"/>
    <cellStyle name="Nuovo 2 2" xfId="1118" xr:uid="{00000000-0005-0000-0000-000024150000}"/>
    <cellStyle name="Nuovo 2 2 2" xfId="4530" xr:uid="{00000000-0005-0000-0000-000025150000}"/>
    <cellStyle name="Nuovo 2 3" xfId="1119" xr:uid="{00000000-0005-0000-0000-000026150000}"/>
    <cellStyle name="Nuovo 2 3 2" xfId="1120" xr:uid="{00000000-0005-0000-0000-000027150000}"/>
    <cellStyle name="Nuovo 2 3 2 2" xfId="2733" xr:uid="{00000000-0005-0000-0000-000028150000}"/>
    <cellStyle name="Nuovo 2 3 2 3" xfId="2732" xr:uid="{00000000-0005-0000-0000-000029150000}"/>
    <cellStyle name="Nuovo 2 3 3" xfId="3759" xr:uid="{00000000-0005-0000-0000-00002A150000}"/>
    <cellStyle name="Nuovo 2 3 3 2" xfId="4532" xr:uid="{00000000-0005-0000-0000-00002B150000}"/>
    <cellStyle name="Nuovo 2 3 4" xfId="4531" xr:uid="{00000000-0005-0000-0000-00002C150000}"/>
    <cellStyle name="Nuovo 2 4" xfId="1121" xr:uid="{00000000-0005-0000-0000-00002D150000}"/>
    <cellStyle name="Nuovo 2 4 2" xfId="2734" xr:uid="{00000000-0005-0000-0000-00002E150000}"/>
    <cellStyle name="Nuovo 2 4 2 2" xfId="4534" xr:uid="{00000000-0005-0000-0000-00002F150000}"/>
    <cellStyle name="Nuovo 2 4 3" xfId="4533" xr:uid="{00000000-0005-0000-0000-000030150000}"/>
    <cellStyle name="Nuovo 2 5" xfId="1122" xr:uid="{00000000-0005-0000-0000-000031150000}"/>
    <cellStyle name="Nuovo 2 6" xfId="1123" xr:uid="{00000000-0005-0000-0000-000032150000}"/>
    <cellStyle name="Nuovo 20" xfId="1124" xr:uid="{00000000-0005-0000-0000-000033150000}"/>
    <cellStyle name="Nuovo 20 2" xfId="1125" xr:uid="{00000000-0005-0000-0000-000034150000}"/>
    <cellStyle name="Nuovo 20 2 2" xfId="4535" xr:uid="{00000000-0005-0000-0000-000035150000}"/>
    <cellStyle name="Nuovo 20 3" xfId="1126" xr:uid="{00000000-0005-0000-0000-000036150000}"/>
    <cellStyle name="Nuovo 20 3 2" xfId="1127" xr:uid="{00000000-0005-0000-0000-000037150000}"/>
    <cellStyle name="Nuovo 20 3 2 2" xfId="2736" xr:uid="{00000000-0005-0000-0000-000038150000}"/>
    <cellStyle name="Nuovo 20 3 2 3" xfId="2735" xr:uid="{00000000-0005-0000-0000-000039150000}"/>
    <cellStyle name="Nuovo 20 3 3" xfId="3760" xr:uid="{00000000-0005-0000-0000-00003A150000}"/>
    <cellStyle name="Nuovo 20 3 3 2" xfId="4537" xr:uid="{00000000-0005-0000-0000-00003B150000}"/>
    <cellStyle name="Nuovo 20 3 4" xfId="4536" xr:uid="{00000000-0005-0000-0000-00003C150000}"/>
    <cellStyle name="Nuovo 20 4" xfId="1128" xr:uid="{00000000-0005-0000-0000-00003D150000}"/>
    <cellStyle name="Nuovo 20 4 2" xfId="2737" xr:uid="{00000000-0005-0000-0000-00003E150000}"/>
    <cellStyle name="Nuovo 20 4 2 2" xfId="4539" xr:uid="{00000000-0005-0000-0000-00003F150000}"/>
    <cellStyle name="Nuovo 20 4 3" xfId="4538" xr:uid="{00000000-0005-0000-0000-000040150000}"/>
    <cellStyle name="Nuovo 20 5" xfId="1129" xr:uid="{00000000-0005-0000-0000-000041150000}"/>
    <cellStyle name="Nuovo 20 6" xfId="1130" xr:uid="{00000000-0005-0000-0000-000042150000}"/>
    <cellStyle name="Nuovo 21" xfId="1131" xr:uid="{00000000-0005-0000-0000-000043150000}"/>
    <cellStyle name="Nuovo 21 2" xfId="1132" xr:uid="{00000000-0005-0000-0000-000044150000}"/>
    <cellStyle name="Nuovo 21 2 2" xfId="4540" xr:uid="{00000000-0005-0000-0000-000045150000}"/>
    <cellStyle name="Nuovo 21 3" xfId="1133" xr:uid="{00000000-0005-0000-0000-000046150000}"/>
    <cellStyle name="Nuovo 21 3 2" xfId="1134" xr:uid="{00000000-0005-0000-0000-000047150000}"/>
    <cellStyle name="Nuovo 21 3 2 2" xfId="2739" xr:uid="{00000000-0005-0000-0000-000048150000}"/>
    <cellStyle name="Nuovo 21 3 2 3" xfId="2738" xr:uid="{00000000-0005-0000-0000-000049150000}"/>
    <cellStyle name="Nuovo 21 3 3" xfId="3761" xr:uid="{00000000-0005-0000-0000-00004A150000}"/>
    <cellStyle name="Nuovo 21 3 3 2" xfId="4542" xr:uid="{00000000-0005-0000-0000-00004B150000}"/>
    <cellStyle name="Nuovo 21 3 4" xfId="4541" xr:uid="{00000000-0005-0000-0000-00004C150000}"/>
    <cellStyle name="Nuovo 21 4" xfId="1135" xr:uid="{00000000-0005-0000-0000-00004D150000}"/>
    <cellStyle name="Nuovo 21 4 2" xfId="2740" xr:uid="{00000000-0005-0000-0000-00004E150000}"/>
    <cellStyle name="Nuovo 21 4 2 2" xfId="4544" xr:uid="{00000000-0005-0000-0000-00004F150000}"/>
    <cellStyle name="Nuovo 21 4 3" xfId="4543" xr:uid="{00000000-0005-0000-0000-000050150000}"/>
    <cellStyle name="Nuovo 21 5" xfId="1136" xr:uid="{00000000-0005-0000-0000-000051150000}"/>
    <cellStyle name="Nuovo 21 6" xfId="1137" xr:uid="{00000000-0005-0000-0000-000052150000}"/>
    <cellStyle name="Nuovo 22" xfId="1138" xr:uid="{00000000-0005-0000-0000-000053150000}"/>
    <cellStyle name="Nuovo 22 2" xfId="1139" xr:uid="{00000000-0005-0000-0000-000054150000}"/>
    <cellStyle name="Nuovo 22 2 2" xfId="4545" xr:uid="{00000000-0005-0000-0000-000055150000}"/>
    <cellStyle name="Nuovo 22 3" xfId="1140" xr:uid="{00000000-0005-0000-0000-000056150000}"/>
    <cellStyle name="Nuovo 22 3 2" xfId="1141" xr:uid="{00000000-0005-0000-0000-000057150000}"/>
    <cellStyle name="Nuovo 22 3 2 2" xfId="2742" xr:uid="{00000000-0005-0000-0000-000058150000}"/>
    <cellStyle name="Nuovo 22 3 2 3" xfId="2741" xr:uid="{00000000-0005-0000-0000-000059150000}"/>
    <cellStyle name="Nuovo 22 3 3" xfId="3762" xr:uid="{00000000-0005-0000-0000-00005A150000}"/>
    <cellStyle name="Nuovo 22 3 3 2" xfId="4547" xr:uid="{00000000-0005-0000-0000-00005B150000}"/>
    <cellStyle name="Nuovo 22 3 4" xfId="4546" xr:uid="{00000000-0005-0000-0000-00005C150000}"/>
    <cellStyle name="Nuovo 22 4" xfId="1142" xr:uid="{00000000-0005-0000-0000-00005D150000}"/>
    <cellStyle name="Nuovo 22 4 2" xfId="2743" xr:uid="{00000000-0005-0000-0000-00005E150000}"/>
    <cellStyle name="Nuovo 22 4 2 2" xfId="4549" xr:uid="{00000000-0005-0000-0000-00005F150000}"/>
    <cellStyle name="Nuovo 22 4 3" xfId="4548" xr:uid="{00000000-0005-0000-0000-000060150000}"/>
    <cellStyle name="Nuovo 22 5" xfId="1143" xr:uid="{00000000-0005-0000-0000-000061150000}"/>
    <cellStyle name="Nuovo 22 6" xfId="1144" xr:uid="{00000000-0005-0000-0000-000062150000}"/>
    <cellStyle name="Nuovo 23" xfId="1145" xr:uid="{00000000-0005-0000-0000-000063150000}"/>
    <cellStyle name="Nuovo 23 2" xfId="1146" xr:uid="{00000000-0005-0000-0000-000064150000}"/>
    <cellStyle name="Nuovo 23 2 2" xfId="4550" xr:uid="{00000000-0005-0000-0000-000065150000}"/>
    <cellStyle name="Nuovo 23 3" xfId="1147" xr:uid="{00000000-0005-0000-0000-000066150000}"/>
    <cellStyle name="Nuovo 23 3 2" xfId="1148" xr:uid="{00000000-0005-0000-0000-000067150000}"/>
    <cellStyle name="Nuovo 23 3 2 2" xfId="2745" xr:uid="{00000000-0005-0000-0000-000068150000}"/>
    <cellStyle name="Nuovo 23 3 2 3" xfId="2744" xr:uid="{00000000-0005-0000-0000-000069150000}"/>
    <cellStyle name="Nuovo 23 3 3" xfId="3763" xr:uid="{00000000-0005-0000-0000-00006A150000}"/>
    <cellStyle name="Nuovo 23 3 3 2" xfId="4552" xr:uid="{00000000-0005-0000-0000-00006B150000}"/>
    <cellStyle name="Nuovo 23 3 4" xfId="4551" xr:uid="{00000000-0005-0000-0000-00006C150000}"/>
    <cellStyle name="Nuovo 23 4" xfId="1149" xr:uid="{00000000-0005-0000-0000-00006D150000}"/>
    <cellStyle name="Nuovo 23 4 2" xfId="2746" xr:uid="{00000000-0005-0000-0000-00006E150000}"/>
    <cellStyle name="Nuovo 23 4 2 2" xfId="4554" xr:uid="{00000000-0005-0000-0000-00006F150000}"/>
    <cellStyle name="Nuovo 23 4 3" xfId="4553" xr:uid="{00000000-0005-0000-0000-000070150000}"/>
    <cellStyle name="Nuovo 23 5" xfId="1150" xr:uid="{00000000-0005-0000-0000-000071150000}"/>
    <cellStyle name="Nuovo 23 6" xfId="1151" xr:uid="{00000000-0005-0000-0000-000072150000}"/>
    <cellStyle name="Nuovo 24" xfId="1152" xr:uid="{00000000-0005-0000-0000-000073150000}"/>
    <cellStyle name="Nuovo 24 2" xfId="1153" xr:uid="{00000000-0005-0000-0000-000074150000}"/>
    <cellStyle name="Nuovo 24 2 2" xfId="4555" xr:uid="{00000000-0005-0000-0000-000075150000}"/>
    <cellStyle name="Nuovo 24 3" xfId="1154" xr:uid="{00000000-0005-0000-0000-000076150000}"/>
    <cellStyle name="Nuovo 24 3 2" xfId="1155" xr:uid="{00000000-0005-0000-0000-000077150000}"/>
    <cellStyle name="Nuovo 24 3 2 2" xfId="2748" xr:uid="{00000000-0005-0000-0000-000078150000}"/>
    <cellStyle name="Nuovo 24 3 2 3" xfId="2747" xr:uid="{00000000-0005-0000-0000-000079150000}"/>
    <cellStyle name="Nuovo 24 3 3" xfId="3764" xr:uid="{00000000-0005-0000-0000-00007A150000}"/>
    <cellStyle name="Nuovo 24 3 3 2" xfId="4557" xr:uid="{00000000-0005-0000-0000-00007B150000}"/>
    <cellStyle name="Nuovo 24 3 4" xfId="4556" xr:uid="{00000000-0005-0000-0000-00007C150000}"/>
    <cellStyle name="Nuovo 24 4" xfId="1156" xr:uid="{00000000-0005-0000-0000-00007D150000}"/>
    <cellStyle name="Nuovo 24 4 2" xfId="2749" xr:uid="{00000000-0005-0000-0000-00007E150000}"/>
    <cellStyle name="Nuovo 24 4 2 2" xfId="4559" xr:uid="{00000000-0005-0000-0000-00007F150000}"/>
    <cellStyle name="Nuovo 24 4 3" xfId="4558" xr:uid="{00000000-0005-0000-0000-000080150000}"/>
    <cellStyle name="Nuovo 24 5" xfId="1157" xr:uid="{00000000-0005-0000-0000-000081150000}"/>
    <cellStyle name="Nuovo 24 6" xfId="1158" xr:uid="{00000000-0005-0000-0000-000082150000}"/>
    <cellStyle name="Nuovo 25" xfId="1159" xr:uid="{00000000-0005-0000-0000-000083150000}"/>
    <cellStyle name="Nuovo 25 2" xfId="1160" xr:uid="{00000000-0005-0000-0000-000084150000}"/>
    <cellStyle name="Nuovo 25 2 2" xfId="4560" xr:uid="{00000000-0005-0000-0000-000085150000}"/>
    <cellStyle name="Nuovo 25 3" xfId="1161" xr:uid="{00000000-0005-0000-0000-000086150000}"/>
    <cellStyle name="Nuovo 25 3 2" xfId="1162" xr:uid="{00000000-0005-0000-0000-000087150000}"/>
    <cellStyle name="Nuovo 25 3 2 2" xfId="2751" xr:uid="{00000000-0005-0000-0000-000088150000}"/>
    <cellStyle name="Nuovo 25 3 2 3" xfId="2750" xr:uid="{00000000-0005-0000-0000-000089150000}"/>
    <cellStyle name="Nuovo 25 3 3" xfId="3765" xr:uid="{00000000-0005-0000-0000-00008A150000}"/>
    <cellStyle name="Nuovo 25 3 3 2" xfId="4562" xr:uid="{00000000-0005-0000-0000-00008B150000}"/>
    <cellStyle name="Nuovo 25 3 4" xfId="4561" xr:uid="{00000000-0005-0000-0000-00008C150000}"/>
    <cellStyle name="Nuovo 25 4" xfId="1163" xr:uid="{00000000-0005-0000-0000-00008D150000}"/>
    <cellStyle name="Nuovo 25 4 2" xfId="2752" xr:uid="{00000000-0005-0000-0000-00008E150000}"/>
    <cellStyle name="Nuovo 25 4 2 2" xfId="4564" xr:uid="{00000000-0005-0000-0000-00008F150000}"/>
    <cellStyle name="Nuovo 25 4 3" xfId="4563" xr:uid="{00000000-0005-0000-0000-000090150000}"/>
    <cellStyle name="Nuovo 25 5" xfId="1164" xr:uid="{00000000-0005-0000-0000-000091150000}"/>
    <cellStyle name="Nuovo 25 6" xfId="1165" xr:uid="{00000000-0005-0000-0000-000092150000}"/>
    <cellStyle name="Nuovo 26" xfId="1166" xr:uid="{00000000-0005-0000-0000-000093150000}"/>
    <cellStyle name="Nuovo 26 2" xfId="1167" xr:uid="{00000000-0005-0000-0000-000094150000}"/>
    <cellStyle name="Nuovo 26 2 2" xfId="4565" xr:uid="{00000000-0005-0000-0000-000095150000}"/>
    <cellStyle name="Nuovo 26 3" xfId="1168" xr:uid="{00000000-0005-0000-0000-000096150000}"/>
    <cellStyle name="Nuovo 26 3 2" xfId="1169" xr:uid="{00000000-0005-0000-0000-000097150000}"/>
    <cellStyle name="Nuovo 26 3 2 2" xfId="2754" xr:uid="{00000000-0005-0000-0000-000098150000}"/>
    <cellStyle name="Nuovo 26 3 2 3" xfId="2753" xr:uid="{00000000-0005-0000-0000-000099150000}"/>
    <cellStyle name="Nuovo 26 3 3" xfId="3766" xr:uid="{00000000-0005-0000-0000-00009A150000}"/>
    <cellStyle name="Nuovo 26 3 3 2" xfId="4567" xr:uid="{00000000-0005-0000-0000-00009B150000}"/>
    <cellStyle name="Nuovo 26 3 3 3" xfId="7083" xr:uid="{00000000-0005-0000-0000-00009C150000}"/>
    <cellStyle name="Nuovo 26 3 4" xfId="4566" xr:uid="{00000000-0005-0000-0000-00009D150000}"/>
    <cellStyle name="Nuovo 26 4" xfId="1170" xr:uid="{00000000-0005-0000-0000-00009E150000}"/>
    <cellStyle name="Nuovo 26 4 2" xfId="2755" xr:uid="{00000000-0005-0000-0000-00009F150000}"/>
    <cellStyle name="Nuovo 26 4 2 2" xfId="4569" xr:uid="{00000000-0005-0000-0000-0000A0150000}"/>
    <cellStyle name="Nuovo 26 4 3" xfId="4568" xr:uid="{00000000-0005-0000-0000-0000A1150000}"/>
    <cellStyle name="Nuovo 26 4 4" xfId="7084" xr:uid="{00000000-0005-0000-0000-0000A2150000}"/>
    <cellStyle name="Nuovo 26 5" xfId="1171" xr:uid="{00000000-0005-0000-0000-0000A3150000}"/>
    <cellStyle name="Nuovo 26 5 2" xfId="7085" xr:uid="{00000000-0005-0000-0000-0000A4150000}"/>
    <cellStyle name="Nuovo 26 6" xfId="1172" xr:uid="{00000000-0005-0000-0000-0000A5150000}"/>
    <cellStyle name="Nuovo 27" xfId="1173" xr:uid="{00000000-0005-0000-0000-0000A6150000}"/>
    <cellStyle name="Nuovo 27 2" xfId="1174" xr:uid="{00000000-0005-0000-0000-0000A7150000}"/>
    <cellStyle name="Nuovo 27 2 2" xfId="4570" xr:uid="{00000000-0005-0000-0000-0000A8150000}"/>
    <cellStyle name="Nuovo 27 2 3" xfId="7086" xr:uid="{00000000-0005-0000-0000-0000A9150000}"/>
    <cellStyle name="Nuovo 27 3" xfId="1175" xr:uid="{00000000-0005-0000-0000-0000AA150000}"/>
    <cellStyle name="Nuovo 27 3 2" xfId="1176" xr:uid="{00000000-0005-0000-0000-0000AB150000}"/>
    <cellStyle name="Nuovo 27 3 2 2" xfId="2757" xr:uid="{00000000-0005-0000-0000-0000AC150000}"/>
    <cellStyle name="Nuovo 27 3 2 3" xfId="2756" xr:uid="{00000000-0005-0000-0000-0000AD150000}"/>
    <cellStyle name="Nuovo 27 3 3" xfId="3767" xr:uid="{00000000-0005-0000-0000-0000AE150000}"/>
    <cellStyle name="Nuovo 27 3 3 2" xfId="4572" xr:uid="{00000000-0005-0000-0000-0000AF150000}"/>
    <cellStyle name="Nuovo 27 3 3 3" xfId="7087" xr:uid="{00000000-0005-0000-0000-0000B0150000}"/>
    <cellStyle name="Nuovo 27 3 4" xfId="4571" xr:uid="{00000000-0005-0000-0000-0000B1150000}"/>
    <cellStyle name="Nuovo 27 3 5" xfId="7088" xr:uid="{00000000-0005-0000-0000-0000B2150000}"/>
    <cellStyle name="Nuovo 27 4" xfId="1177" xr:uid="{00000000-0005-0000-0000-0000B3150000}"/>
    <cellStyle name="Nuovo 27 4 2" xfId="2758" xr:uid="{00000000-0005-0000-0000-0000B4150000}"/>
    <cellStyle name="Nuovo 27 4 2 2" xfId="4574" xr:uid="{00000000-0005-0000-0000-0000B5150000}"/>
    <cellStyle name="Nuovo 27 4 3" xfId="4573" xr:uid="{00000000-0005-0000-0000-0000B6150000}"/>
    <cellStyle name="Nuovo 27 4 4" xfId="7089" xr:uid="{00000000-0005-0000-0000-0000B7150000}"/>
    <cellStyle name="Nuovo 27 5" xfId="1178" xr:uid="{00000000-0005-0000-0000-0000B8150000}"/>
    <cellStyle name="Nuovo 27 5 2" xfId="7090" xr:uid="{00000000-0005-0000-0000-0000B9150000}"/>
    <cellStyle name="Nuovo 27 6" xfId="1179" xr:uid="{00000000-0005-0000-0000-0000BA150000}"/>
    <cellStyle name="Nuovo 28" xfId="1180" xr:uid="{00000000-0005-0000-0000-0000BB150000}"/>
    <cellStyle name="Nuovo 28 2" xfId="1181" xr:uid="{00000000-0005-0000-0000-0000BC150000}"/>
    <cellStyle name="Nuovo 28 2 2" xfId="4575" xr:uid="{00000000-0005-0000-0000-0000BD150000}"/>
    <cellStyle name="Nuovo 28 2 3" xfId="7091" xr:uid="{00000000-0005-0000-0000-0000BE150000}"/>
    <cellStyle name="Nuovo 28 3" xfId="1182" xr:uid="{00000000-0005-0000-0000-0000BF150000}"/>
    <cellStyle name="Nuovo 28 3 2" xfId="1183" xr:uid="{00000000-0005-0000-0000-0000C0150000}"/>
    <cellStyle name="Nuovo 28 3 2 2" xfId="2760" xr:uid="{00000000-0005-0000-0000-0000C1150000}"/>
    <cellStyle name="Nuovo 28 3 2 3" xfId="2759" xr:uid="{00000000-0005-0000-0000-0000C2150000}"/>
    <cellStyle name="Nuovo 28 3 3" xfId="3768" xr:uid="{00000000-0005-0000-0000-0000C3150000}"/>
    <cellStyle name="Nuovo 28 3 3 2" xfId="4577" xr:uid="{00000000-0005-0000-0000-0000C4150000}"/>
    <cellStyle name="Nuovo 28 3 3 3" xfId="7092" xr:uid="{00000000-0005-0000-0000-0000C5150000}"/>
    <cellStyle name="Nuovo 28 3 4" xfId="4576" xr:uid="{00000000-0005-0000-0000-0000C6150000}"/>
    <cellStyle name="Nuovo 28 3 5" xfId="7093" xr:uid="{00000000-0005-0000-0000-0000C7150000}"/>
    <cellStyle name="Nuovo 28 4" xfId="1184" xr:uid="{00000000-0005-0000-0000-0000C8150000}"/>
    <cellStyle name="Nuovo 28 4 2" xfId="2761" xr:uid="{00000000-0005-0000-0000-0000C9150000}"/>
    <cellStyle name="Nuovo 28 4 2 2" xfId="4579" xr:uid="{00000000-0005-0000-0000-0000CA150000}"/>
    <cellStyle name="Nuovo 28 4 3" xfId="4578" xr:uid="{00000000-0005-0000-0000-0000CB150000}"/>
    <cellStyle name="Nuovo 28 4 4" xfId="7094" xr:uid="{00000000-0005-0000-0000-0000CC150000}"/>
    <cellStyle name="Nuovo 28 5" xfId="1185" xr:uid="{00000000-0005-0000-0000-0000CD150000}"/>
    <cellStyle name="Nuovo 28 5 2" xfId="7095" xr:uid="{00000000-0005-0000-0000-0000CE150000}"/>
    <cellStyle name="Nuovo 28 6" xfId="1186" xr:uid="{00000000-0005-0000-0000-0000CF150000}"/>
    <cellStyle name="Nuovo 29" xfId="1187" xr:uid="{00000000-0005-0000-0000-0000D0150000}"/>
    <cellStyle name="Nuovo 29 2" xfId="1188" xr:uid="{00000000-0005-0000-0000-0000D1150000}"/>
    <cellStyle name="Nuovo 29 2 2" xfId="4580" xr:uid="{00000000-0005-0000-0000-0000D2150000}"/>
    <cellStyle name="Nuovo 29 2 3" xfId="7096" xr:uid="{00000000-0005-0000-0000-0000D3150000}"/>
    <cellStyle name="Nuovo 29 3" xfId="1189" xr:uid="{00000000-0005-0000-0000-0000D4150000}"/>
    <cellStyle name="Nuovo 29 3 2" xfId="1190" xr:uid="{00000000-0005-0000-0000-0000D5150000}"/>
    <cellStyle name="Nuovo 29 3 2 2" xfId="2763" xr:uid="{00000000-0005-0000-0000-0000D6150000}"/>
    <cellStyle name="Nuovo 29 3 2 3" xfId="2762" xr:uid="{00000000-0005-0000-0000-0000D7150000}"/>
    <cellStyle name="Nuovo 29 3 3" xfId="3769" xr:uid="{00000000-0005-0000-0000-0000D8150000}"/>
    <cellStyle name="Nuovo 29 3 3 2" xfId="4582" xr:uid="{00000000-0005-0000-0000-0000D9150000}"/>
    <cellStyle name="Nuovo 29 3 3 3" xfId="7097" xr:uid="{00000000-0005-0000-0000-0000DA150000}"/>
    <cellStyle name="Nuovo 29 3 4" xfId="4581" xr:uid="{00000000-0005-0000-0000-0000DB150000}"/>
    <cellStyle name="Nuovo 29 3 5" xfId="7098" xr:uid="{00000000-0005-0000-0000-0000DC150000}"/>
    <cellStyle name="Nuovo 29 4" xfId="1191" xr:uid="{00000000-0005-0000-0000-0000DD150000}"/>
    <cellStyle name="Nuovo 29 4 2" xfId="2764" xr:uid="{00000000-0005-0000-0000-0000DE150000}"/>
    <cellStyle name="Nuovo 29 4 2 2" xfId="4584" xr:uid="{00000000-0005-0000-0000-0000DF150000}"/>
    <cellStyle name="Nuovo 29 4 3" xfId="4583" xr:uid="{00000000-0005-0000-0000-0000E0150000}"/>
    <cellStyle name="Nuovo 29 4 4" xfId="7099" xr:uid="{00000000-0005-0000-0000-0000E1150000}"/>
    <cellStyle name="Nuovo 29 5" xfId="1192" xr:uid="{00000000-0005-0000-0000-0000E2150000}"/>
    <cellStyle name="Nuovo 29 5 2" xfId="7100" xr:uid="{00000000-0005-0000-0000-0000E3150000}"/>
    <cellStyle name="Nuovo 29 6" xfId="1193" xr:uid="{00000000-0005-0000-0000-0000E4150000}"/>
    <cellStyle name="Nuovo 3" xfId="1194" xr:uid="{00000000-0005-0000-0000-0000E5150000}"/>
    <cellStyle name="Nuovo 3 2" xfId="1195" xr:uid="{00000000-0005-0000-0000-0000E6150000}"/>
    <cellStyle name="Nuovo 3 2 2" xfId="4585" xr:uid="{00000000-0005-0000-0000-0000E7150000}"/>
    <cellStyle name="Nuovo 3 2 3" xfId="7101" xr:uid="{00000000-0005-0000-0000-0000E8150000}"/>
    <cellStyle name="Nuovo 3 3" xfId="1196" xr:uid="{00000000-0005-0000-0000-0000E9150000}"/>
    <cellStyle name="Nuovo 3 3 2" xfId="1197" xr:uid="{00000000-0005-0000-0000-0000EA150000}"/>
    <cellStyle name="Nuovo 3 3 2 2" xfId="2766" xr:uid="{00000000-0005-0000-0000-0000EB150000}"/>
    <cellStyle name="Nuovo 3 3 2 3" xfId="2765" xr:uid="{00000000-0005-0000-0000-0000EC150000}"/>
    <cellStyle name="Nuovo 3 3 3" xfId="3770" xr:uid="{00000000-0005-0000-0000-0000ED150000}"/>
    <cellStyle name="Nuovo 3 3 3 2" xfId="4587" xr:uid="{00000000-0005-0000-0000-0000EE150000}"/>
    <cellStyle name="Nuovo 3 3 3 3" xfId="7102" xr:uid="{00000000-0005-0000-0000-0000EF150000}"/>
    <cellStyle name="Nuovo 3 3 4" xfId="4586" xr:uid="{00000000-0005-0000-0000-0000F0150000}"/>
    <cellStyle name="Nuovo 3 3 5" xfId="7103" xr:uid="{00000000-0005-0000-0000-0000F1150000}"/>
    <cellStyle name="Nuovo 3 4" xfId="1198" xr:uid="{00000000-0005-0000-0000-0000F2150000}"/>
    <cellStyle name="Nuovo 3 4 2" xfId="2767" xr:uid="{00000000-0005-0000-0000-0000F3150000}"/>
    <cellStyle name="Nuovo 3 4 2 2" xfId="4589" xr:uid="{00000000-0005-0000-0000-0000F4150000}"/>
    <cellStyle name="Nuovo 3 4 3" xfId="4588" xr:uid="{00000000-0005-0000-0000-0000F5150000}"/>
    <cellStyle name="Nuovo 3 4 4" xfId="7104" xr:uid="{00000000-0005-0000-0000-0000F6150000}"/>
    <cellStyle name="Nuovo 3 5" xfId="1199" xr:uid="{00000000-0005-0000-0000-0000F7150000}"/>
    <cellStyle name="Nuovo 3 5 2" xfId="7105" xr:uid="{00000000-0005-0000-0000-0000F8150000}"/>
    <cellStyle name="Nuovo 3 6" xfId="1200" xr:uid="{00000000-0005-0000-0000-0000F9150000}"/>
    <cellStyle name="Nuovo 30" xfId="1201" xr:uid="{00000000-0005-0000-0000-0000FA150000}"/>
    <cellStyle name="Nuovo 30 2" xfId="1202" xr:uid="{00000000-0005-0000-0000-0000FB150000}"/>
    <cellStyle name="Nuovo 30 2 2" xfId="4590" xr:uid="{00000000-0005-0000-0000-0000FC150000}"/>
    <cellStyle name="Nuovo 30 2 3" xfId="7106" xr:uid="{00000000-0005-0000-0000-0000FD150000}"/>
    <cellStyle name="Nuovo 30 3" xfId="1203" xr:uid="{00000000-0005-0000-0000-0000FE150000}"/>
    <cellStyle name="Nuovo 30 3 2" xfId="1204" xr:uid="{00000000-0005-0000-0000-0000FF150000}"/>
    <cellStyle name="Nuovo 30 3 2 2" xfId="2769" xr:uid="{00000000-0005-0000-0000-000000160000}"/>
    <cellStyle name="Nuovo 30 3 2 3" xfId="2768" xr:uid="{00000000-0005-0000-0000-000001160000}"/>
    <cellStyle name="Nuovo 30 3 3" xfId="3771" xr:uid="{00000000-0005-0000-0000-000002160000}"/>
    <cellStyle name="Nuovo 30 3 3 2" xfId="4592" xr:uid="{00000000-0005-0000-0000-000003160000}"/>
    <cellStyle name="Nuovo 30 3 3 3" xfId="7107" xr:uid="{00000000-0005-0000-0000-000004160000}"/>
    <cellStyle name="Nuovo 30 3 4" xfId="4591" xr:uid="{00000000-0005-0000-0000-000005160000}"/>
    <cellStyle name="Nuovo 30 3 5" xfId="7108" xr:uid="{00000000-0005-0000-0000-000006160000}"/>
    <cellStyle name="Nuovo 30 4" xfId="1205" xr:uid="{00000000-0005-0000-0000-000007160000}"/>
    <cellStyle name="Nuovo 30 4 2" xfId="2770" xr:uid="{00000000-0005-0000-0000-000008160000}"/>
    <cellStyle name="Nuovo 30 4 2 2" xfId="4594" xr:uid="{00000000-0005-0000-0000-000009160000}"/>
    <cellStyle name="Nuovo 30 4 3" xfId="4593" xr:uid="{00000000-0005-0000-0000-00000A160000}"/>
    <cellStyle name="Nuovo 30 4 4" xfId="7109" xr:uid="{00000000-0005-0000-0000-00000B160000}"/>
    <cellStyle name="Nuovo 30 5" xfId="1206" xr:uid="{00000000-0005-0000-0000-00000C160000}"/>
    <cellStyle name="Nuovo 30 5 2" xfId="7110" xr:uid="{00000000-0005-0000-0000-00000D160000}"/>
    <cellStyle name="Nuovo 30 6" xfId="1207" xr:uid="{00000000-0005-0000-0000-00000E160000}"/>
    <cellStyle name="Nuovo 31" xfId="1208" xr:uid="{00000000-0005-0000-0000-00000F160000}"/>
    <cellStyle name="Nuovo 31 2" xfId="1209" xr:uid="{00000000-0005-0000-0000-000010160000}"/>
    <cellStyle name="Nuovo 31 2 2" xfId="4595" xr:uid="{00000000-0005-0000-0000-000011160000}"/>
    <cellStyle name="Nuovo 31 2 3" xfId="7111" xr:uid="{00000000-0005-0000-0000-000012160000}"/>
    <cellStyle name="Nuovo 31 3" xfId="1210" xr:uid="{00000000-0005-0000-0000-000013160000}"/>
    <cellStyle name="Nuovo 31 3 2" xfId="1211" xr:uid="{00000000-0005-0000-0000-000014160000}"/>
    <cellStyle name="Nuovo 31 3 2 2" xfId="2772" xr:uid="{00000000-0005-0000-0000-000015160000}"/>
    <cellStyle name="Nuovo 31 3 2 3" xfId="2771" xr:uid="{00000000-0005-0000-0000-000016160000}"/>
    <cellStyle name="Nuovo 31 3 3" xfId="3772" xr:uid="{00000000-0005-0000-0000-000017160000}"/>
    <cellStyle name="Nuovo 31 3 3 2" xfId="4597" xr:uid="{00000000-0005-0000-0000-000018160000}"/>
    <cellStyle name="Nuovo 31 3 3 3" xfId="7112" xr:uid="{00000000-0005-0000-0000-000019160000}"/>
    <cellStyle name="Nuovo 31 3 4" xfId="4596" xr:uid="{00000000-0005-0000-0000-00001A160000}"/>
    <cellStyle name="Nuovo 31 3 5" xfId="7113" xr:uid="{00000000-0005-0000-0000-00001B160000}"/>
    <cellStyle name="Nuovo 31 4" xfId="1212" xr:uid="{00000000-0005-0000-0000-00001C160000}"/>
    <cellStyle name="Nuovo 31 4 2" xfId="2773" xr:uid="{00000000-0005-0000-0000-00001D160000}"/>
    <cellStyle name="Nuovo 31 4 2 2" xfId="4599" xr:uid="{00000000-0005-0000-0000-00001E160000}"/>
    <cellStyle name="Nuovo 31 4 3" xfId="4598" xr:uid="{00000000-0005-0000-0000-00001F160000}"/>
    <cellStyle name="Nuovo 31 4 4" xfId="7114" xr:uid="{00000000-0005-0000-0000-000020160000}"/>
    <cellStyle name="Nuovo 31 5" xfId="1213" xr:uid="{00000000-0005-0000-0000-000021160000}"/>
    <cellStyle name="Nuovo 31 5 2" xfId="7115" xr:uid="{00000000-0005-0000-0000-000022160000}"/>
    <cellStyle name="Nuovo 31 6" xfId="1214" xr:uid="{00000000-0005-0000-0000-000023160000}"/>
    <cellStyle name="Nuovo 32" xfId="1215" xr:uid="{00000000-0005-0000-0000-000024160000}"/>
    <cellStyle name="Nuovo 32 2" xfId="1216" xr:uid="{00000000-0005-0000-0000-000025160000}"/>
    <cellStyle name="Nuovo 32 2 2" xfId="4600" xr:uid="{00000000-0005-0000-0000-000026160000}"/>
    <cellStyle name="Nuovo 32 2 3" xfId="7116" xr:uid="{00000000-0005-0000-0000-000027160000}"/>
    <cellStyle name="Nuovo 32 3" xfId="1217" xr:uid="{00000000-0005-0000-0000-000028160000}"/>
    <cellStyle name="Nuovo 32 3 2" xfId="1218" xr:uid="{00000000-0005-0000-0000-000029160000}"/>
    <cellStyle name="Nuovo 32 3 2 2" xfId="2775" xr:uid="{00000000-0005-0000-0000-00002A160000}"/>
    <cellStyle name="Nuovo 32 3 2 3" xfId="2774" xr:uid="{00000000-0005-0000-0000-00002B160000}"/>
    <cellStyle name="Nuovo 32 3 3" xfId="3773" xr:uid="{00000000-0005-0000-0000-00002C160000}"/>
    <cellStyle name="Nuovo 32 3 3 2" xfId="4602" xr:uid="{00000000-0005-0000-0000-00002D160000}"/>
    <cellStyle name="Nuovo 32 3 3 3" xfId="7117" xr:uid="{00000000-0005-0000-0000-00002E160000}"/>
    <cellStyle name="Nuovo 32 3 4" xfId="4601" xr:uid="{00000000-0005-0000-0000-00002F160000}"/>
    <cellStyle name="Nuovo 32 3 5" xfId="7118" xr:uid="{00000000-0005-0000-0000-000030160000}"/>
    <cellStyle name="Nuovo 32 4" xfId="1219" xr:uid="{00000000-0005-0000-0000-000031160000}"/>
    <cellStyle name="Nuovo 32 4 2" xfId="2776" xr:uid="{00000000-0005-0000-0000-000032160000}"/>
    <cellStyle name="Nuovo 32 4 2 2" xfId="4604" xr:uid="{00000000-0005-0000-0000-000033160000}"/>
    <cellStyle name="Nuovo 32 4 3" xfId="4603" xr:uid="{00000000-0005-0000-0000-000034160000}"/>
    <cellStyle name="Nuovo 32 4 4" xfId="7119" xr:uid="{00000000-0005-0000-0000-000035160000}"/>
    <cellStyle name="Nuovo 32 5" xfId="1220" xr:uid="{00000000-0005-0000-0000-000036160000}"/>
    <cellStyle name="Nuovo 32 5 2" xfId="7120" xr:uid="{00000000-0005-0000-0000-000037160000}"/>
    <cellStyle name="Nuovo 32 6" xfId="1221" xr:uid="{00000000-0005-0000-0000-000038160000}"/>
    <cellStyle name="Nuovo 33" xfId="1222" xr:uid="{00000000-0005-0000-0000-000039160000}"/>
    <cellStyle name="Nuovo 33 2" xfId="1223" xr:uid="{00000000-0005-0000-0000-00003A160000}"/>
    <cellStyle name="Nuovo 33 2 2" xfId="4605" xr:uid="{00000000-0005-0000-0000-00003B160000}"/>
    <cellStyle name="Nuovo 33 2 3" xfId="7121" xr:uid="{00000000-0005-0000-0000-00003C160000}"/>
    <cellStyle name="Nuovo 33 3" xfId="1224" xr:uid="{00000000-0005-0000-0000-00003D160000}"/>
    <cellStyle name="Nuovo 33 3 2" xfId="1225" xr:uid="{00000000-0005-0000-0000-00003E160000}"/>
    <cellStyle name="Nuovo 33 3 2 2" xfId="2778" xr:uid="{00000000-0005-0000-0000-00003F160000}"/>
    <cellStyle name="Nuovo 33 3 2 3" xfId="2777" xr:uid="{00000000-0005-0000-0000-000040160000}"/>
    <cellStyle name="Nuovo 33 3 3" xfId="3774" xr:uid="{00000000-0005-0000-0000-000041160000}"/>
    <cellStyle name="Nuovo 33 3 3 2" xfId="4607" xr:uid="{00000000-0005-0000-0000-000042160000}"/>
    <cellStyle name="Nuovo 33 3 3 3" xfId="7122" xr:uid="{00000000-0005-0000-0000-000043160000}"/>
    <cellStyle name="Nuovo 33 3 4" xfId="4606" xr:uid="{00000000-0005-0000-0000-000044160000}"/>
    <cellStyle name="Nuovo 33 3 5" xfId="7123" xr:uid="{00000000-0005-0000-0000-000045160000}"/>
    <cellStyle name="Nuovo 33 4" xfId="1226" xr:uid="{00000000-0005-0000-0000-000046160000}"/>
    <cellStyle name="Nuovo 33 4 2" xfId="2779" xr:uid="{00000000-0005-0000-0000-000047160000}"/>
    <cellStyle name="Nuovo 33 4 2 2" xfId="4609" xr:uid="{00000000-0005-0000-0000-000048160000}"/>
    <cellStyle name="Nuovo 33 4 3" xfId="4608" xr:uid="{00000000-0005-0000-0000-000049160000}"/>
    <cellStyle name="Nuovo 33 4 4" xfId="7124" xr:uid="{00000000-0005-0000-0000-00004A160000}"/>
    <cellStyle name="Nuovo 33 5" xfId="1227" xr:uid="{00000000-0005-0000-0000-00004B160000}"/>
    <cellStyle name="Nuovo 33 5 2" xfId="7125" xr:uid="{00000000-0005-0000-0000-00004C160000}"/>
    <cellStyle name="Nuovo 33 6" xfId="1228" xr:uid="{00000000-0005-0000-0000-00004D160000}"/>
    <cellStyle name="Nuovo 34" xfId="1229" xr:uid="{00000000-0005-0000-0000-00004E160000}"/>
    <cellStyle name="Nuovo 34 2" xfId="1230" xr:uid="{00000000-0005-0000-0000-00004F160000}"/>
    <cellStyle name="Nuovo 34 2 2" xfId="4610" xr:uid="{00000000-0005-0000-0000-000050160000}"/>
    <cellStyle name="Nuovo 34 2 3" xfId="7126" xr:uid="{00000000-0005-0000-0000-000051160000}"/>
    <cellStyle name="Nuovo 34 3" xfId="1231" xr:uid="{00000000-0005-0000-0000-000052160000}"/>
    <cellStyle name="Nuovo 34 3 2" xfId="1232" xr:uid="{00000000-0005-0000-0000-000053160000}"/>
    <cellStyle name="Nuovo 34 3 2 2" xfId="2781" xr:uid="{00000000-0005-0000-0000-000054160000}"/>
    <cellStyle name="Nuovo 34 3 2 3" xfId="2780" xr:uid="{00000000-0005-0000-0000-000055160000}"/>
    <cellStyle name="Nuovo 34 3 3" xfId="3775" xr:uid="{00000000-0005-0000-0000-000056160000}"/>
    <cellStyle name="Nuovo 34 3 3 2" xfId="4612" xr:uid="{00000000-0005-0000-0000-000057160000}"/>
    <cellStyle name="Nuovo 34 3 3 3" xfId="7127" xr:uid="{00000000-0005-0000-0000-000058160000}"/>
    <cellStyle name="Nuovo 34 3 4" xfId="4611" xr:uid="{00000000-0005-0000-0000-000059160000}"/>
    <cellStyle name="Nuovo 34 3 5" xfId="7128" xr:uid="{00000000-0005-0000-0000-00005A160000}"/>
    <cellStyle name="Nuovo 34 4" xfId="1233" xr:uid="{00000000-0005-0000-0000-00005B160000}"/>
    <cellStyle name="Nuovo 34 4 2" xfId="2782" xr:uid="{00000000-0005-0000-0000-00005C160000}"/>
    <cellStyle name="Nuovo 34 4 2 2" xfId="4614" xr:uid="{00000000-0005-0000-0000-00005D160000}"/>
    <cellStyle name="Nuovo 34 4 3" xfId="4613" xr:uid="{00000000-0005-0000-0000-00005E160000}"/>
    <cellStyle name="Nuovo 34 4 4" xfId="7129" xr:uid="{00000000-0005-0000-0000-00005F160000}"/>
    <cellStyle name="Nuovo 34 5" xfId="1234" xr:uid="{00000000-0005-0000-0000-000060160000}"/>
    <cellStyle name="Nuovo 34 5 2" xfId="7130" xr:uid="{00000000-0005-0000-0000-000061160000}"/>
    <cellStyle name="Nuovo 34 6" xfId="1235" xr:uid="{00000000-0005-0000-0000-000062160000}"/>
    <cellStyle name="Nuovo 35" xfId="1236" xr:uid="{00000000-0005-0000-0000-000063160000}"/>
    <cellStyle name="Nuovo 35 2" xfId="1237" xr:uid="{00000000-0005-0000-0000-000064160000}"/>
    <cellStyle name="Nuovo 35 2 2" xfId="4615" xr:uid="{00000000-0005-0000-0000-000065160000}"/>
    <cellStyle name="Nuovo 35 2 3" xfId="7131" xr:uid="{00000000-0005-0000-0000-000066160000}"/>
    <cellStyle name="Nuovo 35 3" xfId="1238" xr:uid="{00000000-0005-0000-0000-000067160000}"/>
    <cellStyle name="Nuovo 35 3 2" xfId="1239" xr:uid="{00000000-0005-0000-0000-000068160000}"/>
    <cellStyle name="Nuovo 35 3 2 2" xfId="2784" xr:uid="{00000000-0005-0000-0000-000069160000}"/>
    <cellStyle name="Nuovo 35 3 2 3" xfId="2783" xr:uid="{00000000-0005-0000-0000-00006A160000}"/>
    <cellStyle name="Nuovo 35 3 3" xfId="3776" xr:uid="{00000000-0005-0000-0000-00006B160000}"/>
    <cellStyle name="Nuovo 35 3 3 2" xfId="4617" xr:uid="{00000000-0005-0000-0000-00006C160000}"/>
    <cellStyle name="Nuovo 35 3 3 3" xfId="7132" xr:uid="{00000000-0005-0000-0000-00006D160000}"/>
    <cellStyle name="Nuovo 35 3 4" xfId="4616" xr:uid="{00000000-0005-0000-0000-00006E160000}"/>
    <cellStyle name="Nuovo 35 3 5" xfId="7133" xr:uid="{00000000-0005-0000-0000-00006F160000}"/>
    <cellStyle name="Nuovo 35 4" xfId="1240" xr:uid="{00000000-0005-0000-0000-000070160000}"/>
    <cellStyle name="Nuovo 35 4 2" xfId="2785" xr:uid="{00000000-0005-0000-0000-000071160000}"/>
    <cellStyle name="Nuovo 35 4 2 2" xfId="4619" xr:uid="{00000000-0005-0000-0000-000072160000}"/>
    <cellStyle name="Nuovo 35 4 3" xfId="4618" xr:uid="{00000000-0005-0000-0000-000073160000}"/>
    <cellStyle name="Nuovo 35 4 4" xfId="7134" xr:uid="{00000000-0005-0000-0000-000074160000}"/>
    <cellStyle name="Nuovo 35 5" xfId="1241" xr:uid="{00000000-0005-0000-0000-000075160000}"/>
    <cellStyle name="Nuovo 35 5 2" xfId="7135" xr:uid="{00000000-0005-0000-0000-000076160000}"/>
    <cellStyle name="Nuovo 35 6" xfId="1242" xr:uid="{00000000-0005-0000-0000-000077160000}"/>
    <cellStyle name="Nuovo 36" xfId="1243" xr:uid="{00000000-0005-0000-0000-000078160000}"/>
    <cellStyle name="Nuovo 36 2" xfId="1244" xr:uid="{00000000-0005-0000-0000-000079160000}"/>
    <cellStyle name="Nuovo 36 2 2" xfId="4620" xr:uid="{00000000-0005-0000-0000-00007A160000}"/>
    <cellStyle name="Nuovo 36 2 3" xfId="7136" xr:uid="{00000000-0005-0000-0000-00007B160000}"/>
    <cellStyle name="Nuovo 36 3" xfId="1245" xr:uid="{00000000-0005-0000-0000-00007C160000}"/>
    <cellStyle name="Nuovo 36 3 2" xfId="1246" xr:uid="{00000000-0005-0000-0000-00007D160000}"/>
    <cellStyle name="Nuovo 36 3 2 2" xfId="2787" xr:uid="{00000000-0005-0000-0000-00007E160000}"/>
    <cellStyle name="Nuovo 36 3 2 3" xfId="2786" xr:uid="{00000000-0005-0000-0000-00007F160000}"/>
    <cellStyle name="Nuovo 36 3 3" xfId="3777" xr:uid="{00000000-0005-0000-0000-000080160000}"/>
    <cellStyle name="Nuovo 36 3 3 2" xfId="4622" xr:uid="{00000000-0005-0000-0000-000081160000}"/>
    <cellStyle name="Nuovo 36 3 3 3" xfId="7137" xr:uid="{00000000-0005-0000-0000-000082160000}"/>
    <cellStyle name="Nuovo 36 3 4" xfId="4621" xr:uid="{00000000-0005-0000-0000-000083160000}"/>
    <cellStyle name="Nuovo 36 3 5" xfId="7138" xr:uid="{00000000-0005-0000-0000-000084160000}"/>
    <cellStyle name="Nuovo 36 4" xfId="1247" xr:uid="{00000000-0005-0000-0000-000085160000}"/>
    <cellStyle name="Nuovo 36 4 2" xfId="2788" xr:uid="{00000000-0005-0000-0000-000086160000}"/>
    <cellStyle name="Nuovo 36 4 2 2" xfId="4624" xr:uid="{00000000-0005-0000-0000-000087160000}"/>
    <cellStyle name="Nuovo 36 4 3" xfId="4623" xr:uid="{00000000-0005-0000-0000-000088160000}"/>
    <cellStyle name="Nuovo 36 4 4" xfId="7139" xr:uid="{00000000-0005-0000-0000-000089160000}"/>
    <cellStyle name="Nuovo 36 5" xfId="1248" xr:uid="{00000000-0005-0000-0000-00008A160000}"/>
    <cellStyle name="Nuovo 36 5 2" xfId="7140" xr:uid="{00000000-0005-0000-0000-00008B160000}"/>
    <cellStyle name="Nuovo 36 6" xfId="1249" xr:uid="{00000000-0005-0000-0000-00008C160000}"/>
    <cellStyle name="Nuovo 37" xfId="1250" xr:uid="{00000000-0005-0000-0000-00008D160000}"/>
    <cellStyle name="Nuovo 37 2" xfId="1251" xr:uid="{00000000-0005-0000-0000-00008E160000}"/>
    <cellStyle name="Nuovo 37 2 2" xfId="4625" xr:uid="{00000000-0005-0000-0000-00008F160000}"/>
    <cellStyle name="Nuovo 37 2 3" xfId="7141" xr:uid="{00000000-0005-0000-0000-000090160000}"/>
    <cellStyle name="Nuovo 37 3" xfId="1252" xr:uid="{00000000-0005-0000-0000-000091160000}"/>
    <cellStyle name="Nuovo 37 3 2" xfId="1253" xr:uid="{00000000-0005-0000-0000-000092160000}"/>
    <cellStyle name="Nuovo 37 3 2 2" xfId="2790" xr:uid="{00000000-0005-0000-0000-000093160000}"/>
    <cellStyle name="Nuovo 37 3 2 3" xfId="2789" xr:uid="{00000000-0005-0000-0000-000094160000}"/>
    <cellStyle name="Nuovo 37 3 3" xfId="3778" xr:uid="{00000000-0005-0000-0000-000095160000}"/>
    <cellStyle name="Nuovo 37 3 3 2" xfId="4627" xr:uid="{00000000-0005-0000-0000-000096160000}"/>
    <cellStyle name="Nuovo 37 3 3 3" xfId="7142" xr:uid="{00000000-0005-0000-0000-000097160000}"/>
    <cellStyle name="Nuovo 37 3 4" xfId="4626" xr:uid="{00000000-0005-0000-0000-000098160000}"/>
    <cellStyle name="Nuovo 37 3 5" xfId="7143" xr:uid="{00000000-0005-0000-0000-000099160000}"/>
    <cellStyle name="Nuovo 37 4" xfId="1254" xr:uid="{00000000-0005-0000-0000-00009A160000}"/>
    <cellStyle name="Nuovo 37 4 2" xfId="2791" xr:uid="{00000000-0005-0000-0000-00009B160000}"/>
    <cellStyle name="Nuovo 37 4 2 2" xfId="4629" xr:uid="{00000000-0005-0000-0000-00009C160000}"/>
    <cellStyle name="Nuovo 37 4 3" xfId="4628" xr:uid="{00000000-0005-0000-0000-00009D160000}"/>
    <cellStyle name="Nuovo 37 4 4" xfId="7144" xr:uid="{00000000-0005-0000-0000-00009E160000}"/>
    <cellStyle name="Nuovo 37 5" xfId="1255" xr:uid="{00000000-0005-0000-0000-00009F160000}"/>
    <cellStyle name="Nuovo 37 5 2" xfId="7145" xr:uid="{00000000-0005-0000-0000-0000A0160000}"/>
    <cellStyle name="Nuovo 37 6" xfId="1256" xr:uid="{00000000-0005-0000-0000-0000A1160000}"/>
    <cellStyle name="Nuovo 38" xfId="1257" xr:uid="{00000000-0005-0000-0000-0000A2160000}"/>
    <cellStyle name="Nuovo 38 2" xfId="1258" xr:uid="{00000000-0005-0000-0000-0000A3160000}"/>
    <cellStyle name="Nuovo 38 2 2" xfId="4630" xr:uid="{00000000-0005-0000-0000-0000A4160000}"/>
    <cellStyle name="Nuovo 38 2 3" xfId="7146" xr:uid="{00000000-0005-0000-0000-0000A5160000}"/>
    <cellStyle name="Nuovo 38 3" xfId="1259" xr:uid="{00000000-0005-0000-0000-0000A6160000}"/>
    <cellStyle name="Nuovo 38 3 2" xfId="1260" xr:uid="{00000000-0005-0000-0000-0000A7160000}"/>
    <cellStyle name="Nuovo 38 3 2 2" xfId="2793" xr:uid="{00000000-0005-0000-0000-0000A8160000}"/>
    <cellStyle name="Nuovo 38 3 2 3" xfId="2792" xr:uid="{00000000-0005-0000-0000-0000A9160000}"/>
    <cellStyle name="Nuovo 38 3 3" xfId="3779" xr:uid="{00000000-0005-0000-0000-0000AA160000}"/>
    <cellStyle name="Nuovo 38 3 3 2" xfId="4632" xr:uid="{00000000-0005-0000-0000-0000AB160000}"/>
    <cellStyle name="Nuovo 38 3 3 3" xfId="7147" xr:uid="{00000000-0005-0000-0000-0000AC160000}"/>
    <cellStyle name="Nuovo 38 3 4" xfId="4631" xr:uid="{00000000-0005-0000-0000-0000AD160000}"/>
    <cellStyle name="Nuovo 38 3 5" xfId="7148" xr:uid="{00000000-0005-0000-0000-0000AE160000}"/>
    <cellStyle name="Nuovo 38 4" xfId="1261" xr:uid="{00000000-0005-0000-0000-0000AF160000}"/>
    <cellStyle name="Nuovo 38 4 2" xfId="2794" xr:uid="{00000000-0005-0000-0000-0000B0160000}"/>
    <cellStyle name="Nuovo 38 4 2 2" xfId="4634" xr:uid="{00000000-0005-0000-0000-0000B1160000}"/>
    <cellStyle name="Nuovo 38 4 3" xfId="4633" xr:uid="{00000000-0005-0000-0000-0000B2160000}"/>
    <cellStyle name="Nuovo 38 4 4" xfId="7149" xr:uid="{00000000-0005-0000-0000-0000B3160000}"/>
    <cellStyle name="Nuovo 38 5" xfId="1262" xr:uid="{00000000-0005-0000-0000-0000B4160000}"/>
    <cellStyle name="Nuovo 38 5 2" xfId="7150" xr:uid="{00000000-0005-0000-0000-0000B5160000}"/>
    <cellStyle name="Nuovo 38 6" xfId="1263" xr:uid="{00000000-0005-0000-0000-0000B6160000}"/>
    <cellStyle name="Nuovo 39" xfId="1264" xr:uid="{00000000-0005-0000-0000-0000B7160000}"/>
    <cellStyle name="Nuovo 39 2" xfId="1265" xr:uid="{00000000-0005-0000-0000-0000B8160000}"/>
    <cellStyle name="Nuovo 39 2 2" xfId="4635" xr:uid="{00000000-0005-0000-0000-0000B9160000}"/>
    <cellStyle name="Nuovo 39 2 3" xfId="7151" xr:uid="{00000000-0005-0000-0000-0000BA160000}"/>
    <cellStyle name="Nuovo 39 3" xfId="1266" xr:uid="{00000000-0005-0000-0000-0000BB160000}"/>
    <cellStyle name="Nuovo 39 3 2" xfId="1267" xr:uid="{00000000-0005-0000-0000-0000BC160000}"/>
    <cellStyle name="Nuovo 39 3 2 2" xfId="2796" xr:uid="{00000000-0005-0000-0000-0000BD160000}"/>
    <cellStyle name="Nuovo 39 3 2 3" xfId="2795" xr:uid="{00000000-0005-0000-0000-0000BE160000}"/>
    <cellStyle name="Nuovo 39 3 3" xfId="3780" xr:uid="{00000000-0005-0000-0000-0000BF160000}"/>
    <cellStyle name="Nuovo 39 3 3 2" xfId="4637" xr:uid="{00000000-0005-0000-0000-0000C0160000}"/>
    <cellStyle name="Nuovo 39 3 3 3" xfId="7152" xr:uid="{00000000-0005-0000-0000-0000C1160000}"/>
    <cellStyle name="Nuovo 39 3 4" xfId="4636" xr:uid="{00000000-0005-0000-0000-0000C2160000}"/>
    <cellStyle name="Nuovo 39 3 5" xfId="7153" xr:uid="{00000000-0005-0000-0000-0000C3160000}"/>
    <cellStyle name="Nuovo 39 4" xfId="1268" xr:uid="{00000000-0005-0000-0000-0000C4160000}"/>
    <cellStyle name="Nuovo 39 4 2" xfId="2797" xr:uid="{00000000-0005-0000-0000-0000C5160000}"/>
    <cellStyle name="Nuovo 39 4 2 2" xfId="4639" xr:uid="{00000000-0005-0000-0000-0000C6160000}"/>
    <cellStyle name="Nuovo 39 4 3" xfId="4638" xr:uid="{00000000-0005-0000-0000-0000C7160000}"/>
    <cellStyle name="Nuovo 39 4 4" xfId="7154" xr:uid="{00000000-0005-0000-0000-0000C8160000}"/>
    <cellStyle name="Nuovo 39 5" xfId="1269" xr:uid="{00000000-0005-0000-0000-0000C9160000}"/>
    <cellStyle name="Nuovo 39 5 2" xfId="7155" xr:uid="{00000000-0005-0000-0000-0000CA160000}"/>
    <cellStyle name="Nuovo 39 6" xfId="1270" xr:uid="{00000000-0005-0000-0000-0000CB160000}"/>
    <cellStyle name="Nuovo 4" xfId="1271" xr:uid="{00000000-0005-0000-0000-0000CC160000}"/>
    <cellStyle name="Nuovo 4 2" xfId="1272" xr:uid="{00000000-0005-0000-0000-0000CD160000}"/>
    <cellStyle name="Nuovo 4 2 2" xfId="4640" xr:uid="{00000000-0005-0000-0000-0000CE160000}"/>
    <cellStyle name="Nuovo 4 2 3" xfId="7156" xr:uid="{00000000-0005-0000-0000-0000CF160000}"/>
    <cellStyle name="Nuovo 4 3" xfId="1273" xr:uid="{00000000-0005-0000-0000-0000D0160000}"/>
    <cellStyle name="Nuovo 4 3 2" xfId="1274" xr:uid="{00000000-0005-0000-0000-0000D1160000}"/>
    <cellStyle name="Nuovo 4 3 2 2" xfId="2799" xr:uid="{00000000-0005-0000-0000-0000D2160000}"/>
    <cellStyle name="Nuovo 4 3 2 3" xfId="2798" xr:uid="{00000000-0005-0000-0000-0000D3160000}"/>
    <cellStyle name="Nuovo 4 3 3" xfId="3781" xr:uid="{00000000-0005-0000-0000-0000D4160000}"/>
    <cellStyle name="Nuovo 4 3 3 2" xfId="4642" xr:uid="{00000000-0005-0000-0000-0000D5160000}"/>
    <cellStyle name="Nuovo 4 3 3 3" xfId="7157" xr:uid="{00000000-0005-0000-0000-0000D6160000}"/>
    <cellStyle name="Nuovo 4 3 4" xfId="4641" xr:uid="{00000000-0005-0000-0000-0000D7160000}"/>
    <cellStyle name="Nuovo 4 3 5" xfId="7158" xr:uid="{00000000-0005-0000-0000-0000D8160000}"/>
    <cellStyle name="Nuovo 4 4" xfId="1275" xr:uid="{00000000-0005-0000-0000-0000D9160000}"/>
    <cellStyle name="Nuovo 4 4 2" xfId="2800" xr:uid="{00000000-0005-0000-0000-0000DA160000}"/>
    <cellStyle name="Nuovo 4 4 2 2" xfId="4644" xr:uid="{00000000-0005-0000-0000-0000DB160000}"/>
    <cellStyle name="Nuovo 4 4 3" xfId="4643" xr:uid="{00000000-0005-0000-0000-0000DC160000}"/>
    <cellStyle name="Nuovo 4 4 4" xfId="7159" xr:uid="{00000000-0005-0000-0000-0000DD160000}"/>
    <cellStyle name="Nuovo 4 5" xfId="1276" xr:uid="{00000000-0005-0000-0000-0000DE160000}"/>
    <cellStyle name="Nuovo 4 5 2" xfId="7160" xr:uid="{00000000-0005-0000-0000-0000DF160000}"/>
    <cellStyle name="Nuovo 4 6" xfId="1277" xr:uid="{00000000-0005-0000-0000-0000E0160000}"/>
    <cellStyle name="Nuovo 40" xfId="1278" xr:uid="{00000000-0005-0000-0000-0000E1160000}"/>
    <cellStyle name="Nuovo 40 2" xfId="1279" xr:uid="{00000000-0005-0000-0000-0000E2160000}"/>
    <cellStyle name="Nuovo 40 2 2" xfId="4645" xr:uid="{00000000-0005-0000-0000-0000E3160000}"/>
    <cellStyle name="Nuovo 40 2 3" xfId="7161" xr:uid="{00000000-0005-0000-0000-0000E4160000}"/>
    <cellStyle name="Nuovo 40 3" xfId="1280" xr:uid="{00000000-0005-0000-0000-0000E5160000}"/>
    <cellStyle name="Nuovo 40 3 2" xfId="1281" xr:uid="{00000000-0005-0000-0000-0000E6160000}"/>
    <cellStyle name="Nuovo 40 3 2 2" xfId="2802" xr:uid="{00000000-0005-0000-0000-0000E7160000}"/>
    <cellStyle name="Nuovo 40 3 2 3" xfId="2801" xr:uid="{00000000-0005-0000-0000-0000E8160000}"/>
    <cellStyle name="Nuovo 40 3 3" xfId="3782" xr:uid="{00000000-0005-0000-0000-0000E9160000}"/>
    <cellStyle name="Nuovo 40 3 3 2" xfId="4647" xr:uid="{00000000-0005-0000-0000-0000EA160000}"/>
    <cellStyle name="Nuovo 40 3 3 3" xfId="7162" xr:uid="{00000000-0005-0000-0000-0000EB160000}"/>
    <cellStyle name="Nuovo 40 3 4" xfId="4646" xr:uid="{00000000-0005-0000-0000-0000EC160000}"/>
    <cellStyle name="Nuovo 40 3 5" xfId="7163" xr:uid="{00000000-0005-0000-0000-0000ED160000}"/>
    <cellStyle name="Nuovo 40 4" xfId="1282" xr:uid="{00000000-0005-0000-0000-0000EE160000}"/>
    <cellStyle name="Nuovo 40 4 2" xfId="2803" xr:uid="{00000000-0005-0000-0000-0000EF160000}"/>
    <cellStyle name="Nuovo 40 4 2 2" xfId="4649" xr:uid="{00000000-0005-0000-0000-0000F0160000}"/>
    <cellStyle name="Nuovo 40 4 3" xfId="4648" xr:uid="{00000000-0005-0000-0000-0000F1160000}"/>
    <cellStyle name="Nuovo 40 4 4" xfId="7164" xr:uid="{00000000-0005-0000-0000-0000F2160000}"/>
    <cellStyle name="Nuovo 40 5" xfId="1283" xr:uid="{00000000-0005-0000-0000-0000F3160000}"/>
    <cellStyle name="Nuovo 40 5 2" xfId="7165" xr:uid="{00000000-0005-0000-0000-0000F4160000}"/>
    <cellStyle name="Nuovo 40 6" xfId="1284" xr:uid="{00000000-0005-0000-0000-0000F5160000}"/>
    <cellStyle name="Nuovo 41" xfId="1285" xr:uid="{00000000-0005-0000-0000-0000F6160000}"/>
    <cellStyle name="Nuovo 41 2" xfId="1286" xr:uid="{00000000-0005-0000-0000-0000F7160000}"/>
    <cellStyle name="Nuovo 41 2 2" xfId="4650" xr:uid="{00000000-0005-0000-0000-0000F8160000}"/>
    <cellStyle name="Nuovo 41 2 3" xfId="7166" xr:uid="{00000000-0005-0000-0000-0000F9160000}"/>
    <cellStyle name="Nuovo 41 3" xfId="1287" xr:uid="{00000000-0005-0000-0000-0000FA160000}"/>
    <cellStyle name="Nuovo 41 3 2" xfId="1288" xr:uid="{00000000-0005-0000-0000-0000FB160000}"/>
    <cellStyle name="Nuovo 41 3 2 2" xfId="2805" xr:uid="{00000000-0005-0000-0000-0000FC160000}"/>
    <cellStyle name="Nuovo 41 3 2 3" xfId="2804" xr:uid="{00000000-0005-0000-0000-0000FD160000}"/>
    <cellStyle name="Nuovo 41 3 3" xfId="3783" xr:uid="{00000000-0005-0000-0000-0000FE160000}"/>
    <cellStyle name="Nuovo 41 3 3 2" xfId="4652" xr:uid="{00000000-0005-0000-0000-0000FF160000}"/>
    <cellStyle name="Nuovo 41 3 3 3" xfId="7167" xr:uid="{00000000-0005-0000-0000-000000170000}"/>
    <cellStyle name="Nuovo 41 3 4" xfId="4651" xr:uid="{00000000-0005-0000-0000-000001170000}"/>
    <cellStyle name="Nuovo 41 3 5" xfId="7168" xr:uid="{00000000-0005-0000-0000-000002170000}"/>
    <cellStyle name="Nuovo 41 4" xfId="1289" xr:uid="{00000000-0005-0000-0000-000003170000}"/>
    <cellStyle name="Nuovo 41 4 2" xfId="2806" xr:uid="{00000000-0005-0000-0000-000004170000}"/>
    <cellStyle name="Nuovo 41 4 2 2" xfId="4654" xr:uid="{00000000-0005-0000-0000-000005170000}"/>
    <cellStyle name="Nuovo 41 4 3" xfId="4653" xr:uid="{00000000-0005-0000-0000-000006170000}"/>
    <cellStyle name="Nuovo 41 4 4" xfId="7169" xr:uid="{00000000-0005-0000-0000-000007170000}"/>
    <cellStyle name="Nuovo 41 5" xfId="1290" xr:uid="{00000000-0005-0000-0000-000008170000}"/>
    <cellStyle name="Nuovo 41 5 2" xfId="7170" xr:uid="{00000000-0005-0000-0000-000009170000}"/>
    <cellStyle name="Nuovo 41 6" xfId="1291" xr:uid="{00000000-0005-0000-0000-00000A170000}"/>
    <cellStyle name="Nuovo 42" xfId="1292" xr:uid="{00000000-0005-0000-0000-00000B170000}"/>
    <cellStyle name="Nuovo 42 2" xfId="1293" xr:uid="{00000000-0005-0000-0000-00000C170000}"/>
    <cellStyle name="Nuovo 42 2 2" xfId="4655" xr:uid="{00000000-0005-0000-0000-00000D170000}"/>
    <cellStyle name="Nuovo 42 2 3" xfId="7171" xr:uid="{00000000-0005-0000-0000-00000E170000}"/>
    <cellStyle name="Nuovo 42 3" xfId="1294" xr:uid="{00000000-0005-0000-0000-00000F170000}"/>
    <cellStyle name="Nuovo 42 3 2" xfId="1295" xr:uid="{00000000-0005-0000-0000-000010170000}"/>
    <cellStyle name="Nuovo 42 3 2 2" xfId="2808" xr:uid="{00000000-0005-0000-0000-000011170000}"/>
    <cellStyle name="Nuovo 42 3 2 3" xfId="2807" xr:uid="{00000000-0005-0000-0000-000012170000}"/>
    <cellStyle name="Nuovo 42 3 3" xfId="3784" xr:uid="{00000000-0005-0000-0000-000013170000}"/>
    <cellStyle name="Nuovo 42 3 3 2" xfId="4657" xr:uid="{00000000-0005-0000-0000-000014170000}"/>
    <cellStyle name="Nuovo 42 3 3 3" xfId="7172" xr:uid="{00000000-0005-0000-0000-000015170000}"/>
    <cellStyle name="Nuovo 42 3 4" xfId="4656" xr:uid="{00000000-0005-0000-0000-000016170000}"/>
    <cellStyle name="Nuovo 42 3 5" xfId="7173" xr:uid="{00000000-0005-0000-0000-000017170000}"/>
    <cellStyle name="Nuovo 42 4" xfId="1296" xr:uid="{00000000-0005-0000-0000-000018170000}"/>
    <cellStyle name="Nuovo 42 4 2" xfId="2809" xr:uid="{00000000-0005-0000-0000-000019170000}"/>
    <cellStyle name="Nuovo 42 4 2 2" xfId="4659" xr:uid="{00000000-0005-0000-0000-00001A170000}"/>
    <cellStyle name="Nuovo 42 4 3" xfId="4658" xr:uid="{00000000-0005-0000-0000-00001B170000}"/>
    <cellStyle name="Nuovo 42 4 4" xfId="7174" xr:uid="{00000000-0005-0000-0000-00001C170000}"/>
    <cellStyle name="Nuovo 42 5" xfId="1297" xr:uid="{00000000-0005-0000-0000-00001D170000}"/>
    <cellStyle name="Nuovo 42 5 2" xfId="7175" xr:uid="{00000000-0005-0000-0000-00001E170000}"/>
    <cellStyle name="Nuovo 42 6" xfId="1298" xr:uid="{00000000-0005-0000-0000-00001F170000}"/>
    <cellStyle name="Nuovo 43" xfId="1299" xr:uid="{00000000-0005-0000-0000-000020170000}"/>
    <cellStyle name="Nuovo 43 2" xfId="1300" xr:uid="{00000000-0005-0000-0000-000021170000}"/>
    <cellStyle name="Nuovo 43 2 2" xfId="4660" xr:uid="{00000000-0005-0000-0000-000022170000}"/>
    <cellStyle name="Nuovo 43 2 3" xfId="7176" xr:uid="{00000000-0005-0000-0000-000023170000}"/>
    <cellStyle name="Nuovo 43 3" xfId="1301" xr:uid="{00000000-0005-0000-0000-000024170000}"/>
    <cellStyle name="Nuovo 43 3 2" xfId="1302" xr:uid="{00000000-0005-0000-0000-000025170000}"/>
    <cellStyle name="Nuovo 43 3 2 2" xfId="2811" xr:uid="{00000000-0005-0000-0000-000026170000}"/>
    <cellStyle name="Nuovo 43 3 2 3" xfId="2810" xr:uid="{00000000-0005-0000-0000-000027170000}"/>
    <cellStyle name="Nuovo 43 3 3" xfId="3785" xr:uid="{00000000-0005-0000-0000-000028170000}"/>
    <cellStyle name="Nuovo 43 3 3 2" xfId="4662" xr:uid="{00000000-0005-0000-0000-000029170000}"/>
    <cellStyle name="Nuovo 43 3 3 3" xfId="7177" xr:uid="{00000000-0005-0000-0000-00002A170000}"/>
    <cellStyle name="Nuovo 43 3 4" xfId="4661" xr:uid="{00000000-0005-0000-0000-00002B170000}"/>
    <cellStyle name="Nuovo 43 3 5" xfId="7178" xr:uid="{00000000-0005-0000-0000-00002C170000}"/>
    <cellStyle name="Nuovo 43 4" xfId="1303" xr:uid="{00000000-0005-0000-0000-00002D170000}"/>
    <cellStyle name="Nuovo 43 4 2" xfId="2812" xr:uid="{00000000-0005-0000-0000-00002E170000}"/>
    <cellStyle name="Nuovo 43 4 2 2" xfId="4664" xr:uid="{00000000-0005-0000-0000-00002F170000}"/>
    <cellStyle name="Nuovo 43 4 3" xfId="4663" xr:uid="{00000000-0005-0000-0000-000030170000}"/>
    <cellStyle name="Nuovo 43 4 4" xfId="7179" xr:uid="{00000000-0005-0000-0000-000031170000}"/>
    <cellStyle name="Nuovo 43 5" xfId="1304" xr:uid="{00000000-0005-0000-0000-000032170000}"/>
    <cellStyle name="Nuovo 43 5 2" xfId="7180" xr:uid="{00000000-0005-0000-0000-000033170000}"/>
    <cellStyle name="Nuovo 43 6" xfId="1305" xr:uid="{00000000-0005-0000-0000-000034170000}"/>
    <cellStyle name="Nuovo 44" xfId="1306" xr:uid="{00000000-0005-0000-0000-000035170000}"/>
    <cellStyle name="Nuovo 44 2" xfId="1307" xr:uid="{00000000-0005-0000-0000-000036170000}"/>
    <cellStyle name="Nuovo 44 2 2" xfId="4665" xr:uid="{00000000-0005-0000-0000-000037170000}"/>
    <cellStyle name="Nuovo 44 2 3" xfId="7181" xr:uid="{00000000-0005-0000-0000-000038170000}"/>
    <cellStyle name="Nuovo 44 3" xfId="1308" xr:uid="{00000000-0005-0000-0000-000039170000}"/>
    <cellStyle name="Nuovo 44 3 2" xfId="1309" xr:uid="{00000000-0005-0000-0000-00003A170000}"/>
    <cellStyle name="Nuovo 44 3 2 2" xfId="2814" xr:uid="{00000000-0005-0000-0000-00003B170000}"/>
    <cellStyle name="Nuovo 44 3 2 3" xfId="2813" xr:uid="{00000000-0005-0000-0000-00003C170000}"/>
    <cellStyle name="Nuovo 44 3 3" xfId="3786" xr:uid="{00000000-0005-0000-0000-00003D170000}"/>
    <cellStyle name="Nuovo 44 3 3 2" xfId="4667" xr:uid="{00000000-0005-0000-0000-00003E170000}"/>
    <cellStyle name="Nuovo 44 3 3 3" xfId="7182" xr:uid="{00000000-0005-0000-0000-00003F170000}"/>
    <cellStyle name="Nuovo 44 3 4" xfId="4666" xr:uid="{00000000-0005-0000-0000-000040170000}"/>
    <cellStyle name="Nuovo 44 3 5" xfId="7183" xr:uid="{00000000-0005-0000-0000-000041170000}"/>
    <cellStyle name="Nuovo 44 4" xfId="1310" xr:uid="{00000000-0005-0000-0000-000042170000}"/>
    <cellStyle name="Nuovo 44 4 2" xfId="2815" xr:uid="{00000000-0005-0000-0000-000043170000}"/>
    <cellStyle name="Nuovo 44 4 2 2" xfId="4669" xr:uid="{00000000-0005-0000-0000-000044170000}"/>
    <cellStyle name="Nuovo 44 4 3" xfId="4668" xr:uid="{00000000-0005-0000-0000-000045170000}"/>
    <cellStyle name="Nuovo 44 4 4" xfId="7184" xr:uid="{00000000-0005-0000-0000-000046170000}"/>
    <cellStyle name="Nuovo 44 5" xfId="1311" xr:uid="{00000000-0005-0000-0000-000047170000}"/>
    <cellStyle name="Nuovo 44 5 2" xfId="7185" xr:uid="{00000000-0005-0000-0000-000048170000}"/>
    <cellStyle name="Nuovo 44 6" xfId="1312" xr:uid="{00000000-0005-0000-0000-000049170000}"/>
    <cellStyle name="Nuovo 45" xfId="1313" xr:uid="{00000000-0005-0000-0000-00004A170000}"/>
    <cellStyle name="Nuovo 45 2" xfId="4670" xr:uid="{00000000-0005-0000-0000-00004B170000}"/>
    <cellStyle name="Nuovo 45 3" xfId="7186" xr:uid="{00000000-0005-0000-0000-00004C170000}"/>
    <cellStyle name="Nuovo 46" xfId="1314" xr:uid="{00000000-0005-0000-0000-00004D170000}"/>
    <cellStyle name="Nuovo 46 2" xfId="1315" xr:uid="{00000000-0005-0000-0000-00004E170000}"/>
    <cellStyle name="Nuovo 46 2 2" xfId="2817" xr:uid="{00000000-0005-0000-0000-00004F170000}"/>
    <cellStyle name="Nuovo 46 2 3" xfId="2816" xr:uid="{00000000-0005-0000-0000-000050170000}"/>
    <cellStyle name="Nuovo 46 3" xfId="3787" xr:uid="{00000000-0005-0000-0000-000051170000}"/>
    <cellStyle name="Nuovo 46 3 2" xfId="4672" xr:uid="{00000000-0005-0000-0000-000052170000}"/>
    <cellStyle name="Nuovo 46 3 3" xfId="7187" xr:uid="{00000000-0005-0000-0000-000053170000}"/>
    <cellStyle name="Nuovo 46 4" xfId="4671" xr:uid="{00000000-0005-0000-0000-000054170000}"/>
    <cellStyle name="Nuovo 46 5" xfId="7188" xr:uid="{00000000-0005-0000-0000-000055170000}"/>
    <cellStyle name="Nuovo 47" xfId="1316" xr:uid="{00000000-0005-0000-0000-000056170000}"/>
    <cellStyle name="Nuovo 47 2" xfId="2818" xr:uid="{00000000-0005-0000-0000-000057170000}"/>
    <cellStyle name="Nuovo 47 2 2" xfId="4674" xr:uid="{00000000-0005-0000-0000-000058170000}"/>
    <cellStyle name="Nuovo 47 3" xfId="4673" xr:uid="{00000000-0005-0000-0000-000059170000}"/>
    <cellStyle name="Nuovo 47 4" xfId="7189" xr:uid="{00000000-0005-0000-0000-00005A170000}"/>
    <cellStyle name="Nuovo 48" xfId="1317" xr:uid="{00000000-0005-0000-0000-00005B170000}"/>
    <cellStyle name="Nuovo 48 2" xfId="7190" xr:uid="{00000000-0005-0000-0000-00005C170000}"/>
    <cellStyle name="Nuovo 49" xfId="1318" xr:uid="{00000000-0005-0000-0000-00005D170000}"/>
    <cellStyle name="Nuovo 5" xfId="1319" xr:uid="{00000000-0005-0000-0000-00005E170000}"/>
    <cellStyle name="Nuovo 5 2" xfId="1320" xr:uid="{00000000-0005-0000-0000-00005F170000}"/>
    <cellStyle name="Nuovo 5 2 2" xfId="4675" xr:uid="{00000000-0005-0000-0000-000060170000}"/>
    <cellStyle name="Nuovo 5 2 3" xfId="7191" xr:uid="{00000000-0005-0000-0000-000061170000}"/>
    <cellStyle name="Nuovo 5 3" xfId="1321" xr:uid="{00000000-0005-0000-0000-000062170000}"/>
    <cellStyle name="Nuovo 5 3 2" xfId="1322" xr:uid="{00000000-0005-0000-0000-000063170000}"/>
    <cellStyle name="Nuovo 5 3 2 2" xfId="2820" xr:uid="{00000000-0005-0000-0000-000064170000}"/>
    <cellStyle name="Nuovo 5 3 2 3" xfId="2819" xr:uid="{00000000-0005-0000-0000-000065170000}"/>
    <cellStyle name="Nuovo 5 3 3" xfId="3788" xr:uid="{00000000-0005-0000-0000-000066170000}"/>
    <cellStyle name="Nuovo 5 3 3 2" xfId="4677" xr:uid="{00000000-0005-0000-0000-000067170000}"/>
    <cellStyle name="Nuovo 5 3 3 3" xfId="7192" xr:uid="{00000000-0005-0000-0000-000068170000}"/>
    <cellStyle name="Nuovo 5 3 4" xfId="4676" xr:uid="{00000000-0005-0000-0000-000069170000}"/>
    <cellStyle name="Nuovo 5 3 5" xfId="7193" xr:uid="{00000000-0005-0000-0000-00006A170000}"/>
    <cellStyle name="Nuovo 5 4" xfId="1323" xr:uid="{00000000-0005-0000-0000-00006B170000}"/>
    <cellStyle name="Nuovo 5 4 2" xfId="2821" xr:uid="{00000000-0005-0000-0000-00006C170000}"/>
    <cellStyle name="Nuovo 5 4 2 2" xfId="4679" xr:uid="{00000000-0005-0000-0000-00006D170000}"/>
    <cellStyle name="Nuovo 5 4 3" xfId="4678" xr:uid="{00000000-0005-0000-0000-00006E170000}"/>
    <cellStyle name="Nuovo 5 4 4" xfId="7194" xr:uid="{00000000-0005-0000-0000-00006F170000}"/>
    <cellStyle name="Nuovo 5 5" xfId="1324" xr:uid="{00000000-0005-0000-0000-000070170000}"/>
    <cellStyle name="Nuovo 5 5 2" xfId="7195" xr:uid="{00000000-0005-0000-0000-000071170000}"/>
    <cellStyle name="Nuovo 5 6" xfId="1325" xr:uid="{00000000-0005-0000-0000-000072170000}"/>
    <cellStyle name="Nuovo 6" xfId="1326" xr:uid="{00000000-0005-0000-0000-000073170000}"/>
    <cellStyle name="Nuovo 6 2" xfId="1327" xr:uid="{00000000-0005-0000-0000-000074170000}"/>
    <cellStyle name="Nuovo 6 2 2" xfId="4680" xr:uid="{00000000-0005-0000-0000-000075170000}"/>
    <cellStyle name="Nuovo 6 2 3" xfId="7196" xr:uid="{00000000-0005-0000-0000-000076170000}"/>
    <cellStyle name="Nuovo 6 3" xfId="1328" xr:uid="{00000000-0005-0000-0000-000077170000}"/>
    <cellStyle name="Nuovo 6 3 2" xfId="1329" xr:uid="{00000000-0005-0000-0000-000078170000}"/>
    <cellStyle name="Nuovo 6 3 2 2" xfId="2823" xr:uid="{00000000-0005-0000-0000-000079170000}"/>
    <cellStyle name="Nuovo 6 3 2 3" xfId="2822" xr:uid="{00000000-0005-0000-0000-00007A170000}"/>
    <cellStyle name="Nuovo 6 3 3" xfId="3789" xr:uid="{00000000-0005-0000-0000-00007B170000}"/>
    <cellStyle name="Nuovo 6 3 3 2" xfId="4682" xr:uid="{00000000-0005-0000-0000-00007C170000}"/>
    <cellStyle name="Nuovo 6 3 3 3" xfId="7197" xr:uid="{00000000-0005-0000-0000-00007D170000}"/>
    <cellStyle name="Nuovo 6 3 4" xfId="4681" xr:uid="{00000000-0005-0000-0000-00007E170000}"/>
    <cellStyle name="Nuovo 6 3 5" xfId="7198" xr:uid="{00000000-0005-0000-0000-00007F170000}"/>
    <cellStyle name="Nuovo 6 4" xfId="1330" xr:uid="{00000000-0005-0000-0000-000080170000}"/>
    <cellStyle name="Nuovo 6 4 2" xfId="2824" xr:uid="{00000000-0005-0000-0000-000081170000}"/>
    <cellStyle name="Nuovo 6 4 2 2" xfId="4684" xr:uid="{00000000-0005-0000-0000-000082170000}"/>
    <cellStyle name="Nuovo 6 4 3" xfId="4683" xr:uid="{00000000-0005-0000-0000-000083170000}"/>
    <cellStyle name="Nuovo 6 4 4" xfId="7199" xr:uid="{00000000-0005-0000-0000-000084170000}"/>
    <cellStyle name="Nuovo 6 5" xfId="1331" xr:uid="{00000000-0005-0000-0000-000085170000}"/>
    <cellStyle name="Nuovo 6 5 2" xfId="7200" xr:uid="{00000000-0005-0000-0000-000086170000}"/>
    <cellStyle name="Nuovo 6 6" xfId="1332" xr:uid="{00000000-0005-0000-0000-000087170000}"/>
    <cellStyle name="Nuovo 7" xfId="1333" xr:uid="{00000000-0005-0000-0000-000088170000}"/>
    <cellStyle name="Nuovo 7 2" xfId="1334" xr:uid="{00000000-0005-0000-0000-000089170000}"/>
    <cellStyle name="Nuovo 7 2 2" xfId="4685" xr:uid="{00000000-0005-0000-0000-00008A170000}"/>
    <cellStyle name="Nuovo 7 2 3" xfId="7201" xr:uid="{00000000-0005-0000-0000-00008B170000}"/>
    <cellStyle name="Nuovo 7 3" xfId="1335" xr:uid="{00000000-0005-0000-0000-00008C170000}"/>
    <cellStyle name="Nuovo 7 3 2" xfId="1336" xr:uid="{00000000-0005-0000-0000-00008D170000}"/>
    <cellStyle name="Nuovo 7 3 2 2" xfId="2826" xr:uid="{00000000-0005-0000-0000-00008E170000}"/>
    <cellStyle name="Nuovo 7 3 2 3" xfId="2825" xr:uid="{00000000-0005-0000-0000-00008F170000}"/>
    <cellStyle name="Nuovo 7 3 3" xfId="3790" xr:uid="{00000000-0005-0000-0000-000090170000}"/>
    <cellStyle name="Nuovo 7 3 3 2" xfId="4687" xr:uid="{00000000-0005-0000-0000-000091170000}"/>
    <cellStyle name="Nuovo 7 3 3 3" xfId="7202" xr:uid="{00000000-0005-0000-0000-000092170000}"/>
    <cellStyle name="Nuovo 7 3 4" xfId="4686" xr:uid="{00000000-0005-0000-0000-000093170000}"/>
    <cellStyle name="Nuovo 7 3 5" xfId="7203" xr:uid="{00000000-0005-0000-0000-000094170000}"/>
    <cellStyle name="Nuovo 7 4" xfId="1337" xr:uid="{00000000-0005-0000-0000-000095170000}"/>
    <cellStyle name="Nuovo 7 4 2" xfId="2827" xr:uid="{00000000-0005-0000-0000-000096170000}"/>
    <cellStyle name="Nuovo 7 4 2 2" xfId="4689" xr:uid="{00000000-0005-0000-0000-000097170000}"/>
    <cellStyle name="Nuovo 7 4 3" xfId="4688" xr:uid="{00000000-0005-0000-0000-000098170000}"/>
    <cellStyle name="Nuovo 7 4 4" xfId="7204" xr:uid="{00000000-0005-0000-0000-000099170000}"/>
    <cellStyle name="Nuovo 7 5" xfId="1338" xr:uid="{00000000-0005-0000-0000-00009A170000}"/>
    <cellStyle name="Nuovo 7 5 2" xfId="7205" xr:uid="{00000000-0005-0000-0000-00009B170000}"/>
    <cellStyle name="Nuovo 7 6" xfId="1339" xr:uid="{00000000-0005-0000-0000-00009C170000}"/>
    <cellStyle name="Nuovo 8" xfId="1340" xr:uid="{00000000-0005-0000-0000-00009D170000}"/>
    <cellStyle name="Nuovo 8 2" xfId="1341" xr:uid="{00000000-0005-0000-0000-00009E170000}"/>
    <cellStyle name="Nuovo 8 2 2" xfId="4690" xr:uid="{00000000-0005-0000-0000-00009F170000}"/>
    <cellStyle name="Nuovo 8 2 3" xfId="7206" xr:uid="{00000000-0005-0000-0000-0000A0170000}"/>
    <cellStyle name="Nuovo 8 3" xfId="1342" xr:uid="{00000000-0005-0000-0000-0000A1170000}"/>
    <cellStyle name="Nuovo 8 3 2" xfId="1343" xr:uid="{00000000-0005-0000-0000-0000A2170000}"/>
    <cellStyle name="Nuovo 8 3 2 2" xfId="2829" xr:uid="{00000000-0005-0000-0000-0000A3170000}"/>
    <cellStyle name="Nuovo 8 3 2 3" xfId="2828" xr:uid="{00000000-0005-0000-0000-0000A4170000}"/>
    <cellStyle name="Nuovo 8 3 3" xfId="3791" xr:uid="{00000000-0005-0000-0000-0000A5170000}"/>
    <cellStyle name="Nuovo 8 3 3 2" xfId="4692" xr:uid="{00000000-0005-0000-0000-0000A6170000}"/>
    <cellStyle name="Nuovo 8 3 3 3" xfId="7207" xr:uid="{00000000-0005-0000-0000-0000A7170000}"/>
    <cellStyle name="Nuovo 8 3 4" xfId="4691" xr:uid="{00000000-0005-0000-0000-0000A8170000}"/>
    <cellStyle name="Nuovo 8 3 5" xfId="7208" xr:uid="{00000000-0005-0000-0000-0000A9170000}"/>
    <cellStyle name="Nuovo 8 4" xfId="1344" xr:uid="{00000000-0005-0000-0000-0000AA170000}"/>
    <cellStyle name="Nuovo 8 4 2" xfId="2830" xr:uid="{00000000-0005-0000-0000-0000AB170000}"/>
    <cellStyle name="Nuovo 8 4 2 2" xfId="4694" xr:uid="{00000000-0005-0000-0000-0000AC170000}"/>
    <cellStyle name="Nuovo 8 4 3" xfId="4693" xr:uid="{00000000-0005-0000-0000-0000AD170000}"/>
    <cellStyle name="Nuovo 8 4 4" xfId="7209" xr:uid="{00000000-0005-0000-0000-0000AE170000}"/>
    <cellStyle name="Nuovo 8 5" xfId="1345" xr:uid="{00000000-0005-0000-0000-0000AF170000}"/>
    <cellStyle name="Nuovo 8 5 2" xfId="7210" xr:uid="{00000000-0005-0000-0000-0000B0170000}"/>
    <cellStyle name="Nuovo 8 6" xfId="1346" xr:uid="{00000000-0005-0000-0000-0000B1170000}"/>
    <cellStyle name="Nuovo 9" xfId="1347" xr:uid="{00000000-0005-0000-0000-0000B2170000}"/>
    <cellStyle name="Nuovo 9 2" xfId="1348" xr:uid="{00000000-0005-0000-0000-0000B3170000}"/>
    <cellStyle name="Nuovo 9 2 2" xfId="4695" xr:uid="{00000000-0005-0000-0000-0000B4170000}"/>
    <cellStyle name="Nuovo 9 2 3" xfId="7211" xr:uid="{00000000-0005-0000-0000-0000B5170000}"/>
    <cellStyle name="Nuovo 9 3" xfId="1349" xr:uid="{00000000-0005-0000-0000-0000B6170000}"/>
    <cellStyle name="Nuovo 9 3 2" xfId="1350" xr:uid="{00000000-0005-0000-0000-0000B7170000}"/>
    <cellStyle name="Nuovo 9 3 2 2" xfId="2832" xr:uid="{00000000-0005-0000-0000-0000B8170000}"/>
    <cellStyle name="Nuovo 9 3 2 3" xfId="2831" xr:uid="{00000000-0005-0000-0000-0000B9170000}"/>
    <cellStyle name="Nuovo 9 3 3" xfId="3792" xr:uid="{00000000-0005-0000-0000-0000BA170000}"/>
    <cellStyle name="Nuovo 9 3 3 2" xfId="4697" xr:uid="{00000000-0005-0000-0000-0000BB170000}"/>
    <cellStyle name="Nuovo 9 3 3 3" xfId="7212" xr:uid="{00000000-0005-0000-0000-0000BC170000}"/>
    <cellStyle name="Nuovo 9 3 4" xfId="4696" xr:uid="{00000000-0005-0000-0000-0000BD170000}"/>
    <cellStyle name="Nuovo 9 3 5" xfId="7213" xr:uid="{00000000-0005-0000-0000-0000BE170000}"/>
    <cellStyle name="Nuovo 9 4" xfId="1351" xr:uid="{00000000-0005-0000-0000-0000BF170000}"/>
    <cellStyle name="Nuovo 9 4 2" xfId="2833" xr:uid="{00000000-0005-0000-0000-0000C0170000}"/>
    <cellStyle name="Nuovo 9 4 2 2" xfId="4699" xr:uid="{00000000-0005-0000-0000-0000C1170000}"/>
    <cellStyle name="Nuovo 9 4 3" xfId="4698" xr:uid="{00000000-0005-0000-0000-0000C2170000}"/>
    <cellStyle name="Nuovo 9 4 4" xfId="7214" xr:uid="{00000000-0005-0000-0000-0000C3170000}"/>
    <cellStyle name="Nuovo 9 5" xfId="1352" xr:uid="{00000000-0005-0000-0000-0000C4170000}"/>
    <cellStyle name="Nuovo 9 5 2" xfId="7215" xr:uid="{00000000-0005-0000-0000-0000C5170000}"/>
    <cellStyle name="Nuovo 9 6" xfId="1353" xr:uid="{00000000-0005-0000-0000-0000C6170000}"/>
    <cellStyle name="Output 2" xfId="1354" xr:uid="{00000000-0005-0000-0000-0000C7170000}"/>
    <cellStyle name="Output 2 2" xfId="2834" xr:uid="{00000000-0005-0000-0000-0000C8170000}"/>
    <cellStyle name="Output 2 2 2" xfId="2835" xr:uid="{00000000-0005-0000-0000-0000C9170000}"/>
    <cellStyle name="Output 2 3" xfId="2836" xr:uid="{00000000-0005-0000-0000-0000CA170000}"/>
    <cellStyle name="Output 2 3 2" xfId="7216" xr:uid="{00000000-0005-0000-0000-0000CB170000}"/>
    <cellStyle name="Output 2 4" xfId="7217" xr:uid="{00000000-0005-0000-0000-0000CC170000}"/>
    <cellStyle name="Output 2 4 2" xfId="7218" xr:uid="{00000000-0005-0000-0000-0000CD170000}"/>
    <cellStyle name="Output 2 5" xfId="7219" xr:uid="{00000000-0005-0000-0000-0000CE170000}"/>
    <cellStyle name="Output 2 5 2" xfId="7220" xr:uid="{00000000-0005-0000-0000-0000CF170000}"/>
    <cellStyle name="Output 2 6" xfId="7221" xr:uid="{00000000-0005-0000-0000-0000D0170000}"/>
    <cellStyle name="Output 2 6 2" xfId="7222" xr:uid="{00000000-0005-0000-0000-0000D1170000}"/>
    <cellStyle name="Output 2 7" xfId="7223" xr:uid="{00000000-0005-0000-0000-0000D2170000}"/>
    <cellStyle name="Output 2 7 2" xfId="7224" xr:uid="{00000000-0005-0000-0000-0000D3170000}"/>
    <cellStyle name="Output 2 8" xfId="7225" xr:uid="{00000000-0005-0000-0000-0000D4170000}"/>
    <cellStyle name="Output 3" xfId="2837" xr:uid="{00000000-0005-0000-0000-0000D5170000}"/>
    <cellStyle name="Output 3 2" xfId="2838" xr:uid="{00000000-0005-0000-0000-0000D6170000}"/>
    <cellStyle name="Output 3 2 2" xfId="7226" xr:uid="{00000000-0005-0000-0000-0000D7170000}"/>
    <cellStyle name="Output 3 3" xfId="3793" xr:uid="{00000000-0005-0000-0000-0000D8170000}"/>
    <cellStyle name="Output 3 3 2" xfId="7227" xr:uid="{00000000-0005-0000-0000-0000D9170000}"/>
    <cellStyle name="Output 3 4" xfId="7228" xr:uid="{00000000-0005-0000-0000-0000DA170000}"/>
    <cellStyle name="Output 3 4 2" xfId="7229" xr:uid="{00000000-0005-0000-0000-0000DB170000}"/>
    <cellStyle name="Output 3 5" xfId="7230" xr:uid="{00000000-0005-0000-0000-0000DC170000}"/>
    <cellStyle name="Output 3 5 2" xfId="7231" xr:uid="{00000000-0005-0000-0000-0000DD170000}"/>
    <cellStyle name="Output 3 6" xfId="7232" xr:uid="{00000000-0005-0000-0000-0000DE170000}"/>
    <cellStyle name="Output 3 7" xfId="7233" xr:uid="{00000000-0005-0000-0000-0000DF170000}"/>
    <cellStyle name="Output 4" xfId="7234" xr:uid="{00000000-0005-0000-0000-0000E0170000}"/>
    <cellStyle name="Output 4 2" xfId="7235" xr:uid="{00000000-0005-0000-0000-0000E1170000}"/>
    <cellStyle name="Output 5" xfId="7236" xr:uid="{00000000-0005-0000-0000-0000E2170000}"/>
    <cellStyle name="Overskrift 1 2" xfId="3794" xr:uid="{00000000-0005-0000-0000-0000E3170000}"/>
    <cellStyle name="Overskrift 1 2 2" xfId="7237" xr:uid="{00000000-0005-0000-0000-0000E4170000}"/>
    <cellStyle name="Overskrift 2 2" xfId="3795" xr:uid="{00000000-0005-0000-0000-0000E5170000}"/>
    <cellStyle name="Overskrift 2 2 2" xfId="7238" xr:uid="{00000000-0005-0000-0000-0000E6170000}"/>
    <cellStyle name="Overskrift 3 2" xfId="3796" xr:uid="{00000000-0005-0000-0000-0000E7170000}"/>
    <cellStyle name="Overskrift 3 2 2" xfId="7239" xr:uid="{00000000-0005-0000-0000-0000E8170000}"/>
    <cellStyle name="Overskrift 4 2" xfId="3797" xr:uid="{00000000-0005-0000-0000-0000E9170000}"/>
    <cellStyle name="Overskrift 4 2 2" xfId="7240" xr:uid="{00000000-0005-0000-0000-0000EA170000}"/>
    <cellStyle name="Percen - Type1" xfId="1355" xr:uid="{00000000-0005-0000-0000-0000EB170000}"/>
    <cellStyle name="Percen - Type1 2" xfId="7241" xr:uid="{00000000-0005-0000-0000-0000EC170000}"/>
    <cellStyle name="Percent 2" xfId="1356" xr:uid="{00000000-0005-0000-0000-0000ED170000}"/>
    <cellStyle name="Percent 2 2" xfId="2839" xr:uid="{00000000-0005-0000-0000-0000EE170000}"/>
    <cellStyle name="Percent 2 2 2" xfId="2840" xr:uid="{00000000-0005-0000-0000-0000EF170000}"/>
    <cellStyle name="Percent 2 2 3" xfId="2841" xr:uid="{00000000-0005-0000-0000-0000F0170000}"/>
    <cellStyle name="Percent 2 2 3 2" xfId="2842" xr:uid="{00000000-0005-0000-0000-0000F1170000}"/>
    <cellStyle name="Percent 2 2 4" xfId="2843" xr:uid="{00000000-0005-0000-0000-0000F2170000}"/>
    <cellStyle name="Percent 2 3" xfId="2844" xr:uid="{00000000-0005-0000-0000-0000F3170000}"/>
    <cellStyle name="Percent 2 3 2" xfId="2845" xr:uid="{00000000-0005-0000-0000-0000F4170000}"/>
    <cellStyle name="Percent 3" xfId="1357" xr:uid="{00000000-0005-0000-0000-0000F5170000}"/>
    <cellStyle name="Percent 3 2" xfId="1358" xr:uid="{00000000-0005-0000-0000-0000F6170000}"/>
    <cellStyle name="Percent 3 2 2" xfId="3799" xr:uid="{00000000-0005-0000-0000-0000F7170000}"/>
    <cellStyle name="Percent 3 2 3" xfId="3296" xr:uid="{00000000-0005-0000-0000-0000F8170000}"/>
    <cellStyle name="Percent 3 3" xfId="1359" xr:uid="{00000000-0005-0000-0000-0000F9170000}"/>
    <cellStyle name="Percent 3 3 2" xfId="1360" xr:uid="{00000000-0005-0000-0000-0000FA170000}"/>
    <cellStyle name="Percent 3 3 2 2" xfId="2847" xr:uid="{00000000-0005-0000-0000-0000FB170000}"/>
    <cellStyle name="Percent 3 3 2 3" xfId="2846" xr:uid="{00000000-0005-0000-0000-0000FC170000}"/>
    <cellStyle name="Percent 3 3 3" xfId="3800" xr:uid="{00000000-0005-0000-0000-0000FD170000}"/>
    <cellStyle name="Percent 3 3 3 2" xfId="4701" xr:uid="{00000000-0005-0000-0000-0000FE170000}"/>
    <cellStyle name="Percent 3 3 3 3" xfId="7242" xr:uid="{00000000-0005-0000-0000-0000FF170000}"/>
    <cellStyle name="Percent 3 3 4" xfId="4700" xr:uid="{00000000-0005-0000-0000-000000180000}"/>
    <cellStyle name="Percent 3 3 5" xfId="7243" xr:uid="{00000000-0005-0000-0000-000001180000}"/>
    <cellStyle name="Percent 3 4" xfId="1361" xr:uid="{00000000-0005-0000-0000-000002180000}"/>
    <cellStyle name="Percent 3 4 2" xfId="2849" xr:uid="{00000000-0005-0000-0000-000003180000}"/>
    <cellStyle name="Percent 3 4 3" xfId="2848" xr:uid="{00000000-0005-0000-0000-000004180000}"/>
    <cellStyle name="Percent 3 5" xfId="3801" xr:uid="{00000000-0005-0000-0000-000005180000}"/>
    <cellStyle name="Percent 3 5 2" xfId="4702" xr:uid="{00000000-0005-0000-0000-000006180000}"/>
    <cellStyle name="Percent 3 6" xfId="3798" xr:uid="{00000000-0005-0000-0000-000007180000}"/>
    <cellStyle name="Percent 4" xfId="1362" xr:uid="{00000000-0005-0000-0000-000008180000}"/>
    <cellStyle name="Percent 4 2" xfId="3802" xr:uid="{00000000-0005-0000-0000-000009180000}"/>
    <cellStyle name="Percent 4 2 2" xfId="4704" xr:uid="{00000000-0005-0000-0000-00000A180000}"/>
    <cellStyle name="Percent 4 3" xfId="4703" xr:uid="{00000000-0005-0000-0000-00000B180000}"/>
    <cellStyle name="Percent 4 4" xfId="7244" xr:uid="{00000000-0005-0000-0000-00000C180000}"/>
    <cellStyle name="Percent 5" xfId="1363" xr:uid="{00000000-0005-0000-0000-00000D180000}"/>
    <cellStyle name="Percent 5 2" xfId="7245" xr:uid="{00000000-0005-0000-0000-00000E180000}"/>
    <cellStyle name="Percent 5 3" xfId="7246" xr:uid="{00000000-0005-0000-0000-00000F180000}"/>
    <cellStyle name="Percent 6" xfId="1364" xr:uid="{00000000-0005-0000-0000-000010180000}"/>
    <cellStyle name="Percent 6 2" xfId="3230" xr:uid="{00000000-0005-0000-0000-000011180000}"/>
    <cellStyle name="Percent 7" xfId="3107" xr:uid="{00000000-0005-0000-0000-000012180000}"/>
    <cellStyle name="Percent 7 2" xfId="7247" xr:uid="{00000000-0005-0000-0000-000013180000}"/>
    <cellStyle name="Percentuale 10" xfId="1365" xr:uid="{00000000-0005-0000-0000-000014180000}"/>
    <cellStyle name="Percentuale 10 2" xfId="1366" xr:uid="{00000000-0005-0000-0000-000015180000}"/>
    <cellStyle name="Percentuale 10 2 2" xfId="4705" xr:uid="{00000000-0005-0000-0000-000016180000}"/>
    <cellStyle name="Percentuale 10 2 3" xfId="7248" xr:uid="{00000000-0005-0000-0000-000017180000}"/>
    <cellStyle name="Percentuale 10 3" xfId="1367" xr:uid="{00000000-0005-0000-0000-000018180000}"/>
    <cellStyle name="Percentuale 10 3 2" xfId="1368" xr:uid="{00000000-0005-0000-0000-000019180000}"/>
    <cellStyle name="Percentuale 10 3 2 2" xfId="2851" xr:uid="{00000000-0005-0000-0000-00001A180000}"/>
    <cellStyle name="Percentuale 10 3 2 3" xfId="2850" xr:uid="{00000000-0005-0000-0000-00001B180000}"/>
    <cellStyle name="Percentuale 10 3 3" xfId="3803" xr:uid="{00000000-0005-0000-0000-00001C180000}"/>
    <cellStyle name="Percentuale 10 3 3 2" xfId="4707" xr:uid="{00000000-0005-0000-0000-00001D180000}"/>
    <cellStyle name="Percentuale 10 3 3 3" xfId="7249" xr:uid="{00000000-0005-0000-0000-00001E180000}"/>
    <cellStyle name="Percentuale 10 3 4" xfId="4706" xr:uid="{00000000-0005-0000-0000-00001F180000}"/>
    <cellStyle name="Percentuale 10 3 5" xfId="7250" xr:uid="{00000000-0005-0000-0000-000020180000}"/>
    <cellStyle name="Percentuale 10 4" xfId="1369" xr:uid="{00000000-0005-0000-0000-000021180000}"/>
    <cellStyle name="Percentuale 10 4 2" xfId="2852" xr:uid="{00000000-0005-0000-0000-000022180000}"/>
    <cellStyle name="Percentuale 10 4 2 2" xfId="4709" xr:uid="{00000000-0005-0000-0000-000023180000}"/>
    <cellStyle name="Percentuale 10 4 3" xfId="4708" xr:uid="{00000000-0005-0000-0000-000024180000}"/>
    <cellStyle name="Percentuale 10 4 4" xfId="7251" xr:uid="{00000000-0005-0000-0000-000025180000}"/>
    <cellStyle name="Percentuale 10 5" xfId="1370" xr:uid="{00000000-0005-0000-0000-000026180000}"/>
    <cellStyle name="Percentuale 10 5 2" xfId="7252" xr:uid="{00000000-0005-0000-0000-000027180000}"/>
    <cellStyle name="Percentuale 10 6" xfId="1371" xr:uid="{00000000-0005-0000-0000-000028180000}"/>
    <cellStyle name="Percentuale 11" xfId="1372" xr:uid="{00000000-0005-0000-0000-000029180000}"/>
    <cellStyle name="Percentuale 11 2" xfId="1373" xr:uid="{00000000-0005-0000-0000-00002A180000}"/>
    <cellStyle name="Percentuale 11 2 2" xfId="4710" xr:uid="{00000000-0005-0000-0000-00002B180000}"/>
    <cellStyle name="Percentuale 11 2 3" xfId="7253" xr:uid="{00000000-0005-0000-0000-00002C180000}"/>
    <cellStyle name="Percentuale 11 3" xfId="1374" xr:uid="{00000000-0005-0000-0000-00002D180000}"/>
    <cellStyle name="Percentuale 11 3 2" xfId="1375" xr:uid="{00000000-0005-0000-0000-00002E180000}"/>
    <cellStyle name="Percentuale 11 3 2 2" xfId="2854" xr:uid="{00000000-0005-0000-0000-00002F180000}"/>
    <cellStyle name="Percentuale 11 3 2 3" xfId="2853" xr:uid="{00000000-0005-0000-0000-000030180000}"/>
    <cellStyle name="Percentuale 11 3 3" xfId="3804" xr:uid="{00000000-0005-0000-0000-000031180000}"/>
    <cellStyle name="Percentuale 11 3 3 2" xfId="4712" xr:uid="{00000000-0005-0000-0000-000032180000}"/>
    <cellStyle name="Percentuale 11 3 3 3" xfId="7254" xr:uid="{00000000-0005-0000-0000-000033180000}"/>
    <cellStyle name="Percentuale 11 3 4" xfId="4711" xr:uid="{00000000-0005-0000-0000-000034180000}"/>
    <cellStyle name="Percentuale 11 3 5" xfId="7255" xr:uid="{00000000-0005-0000-0000-000035180000}"/>
    <cellStyle name="Percentuale 11 4" xfId="1376" xr:uid="{00000000-0005-0000-0000-000036180000}"/>
    <cellStyle name="Percentuale 11 4 2" xfId="2855" xr:uid="{00000000-0005-0000-0000-000037180000}"/>
    <cellStyle name="Percentuale 11 4 2 2" xfId="4714" xr:uid="{00000000-0005-0000-0000-000038180000}"/>
    <cellStyle name="Percentuale 11 4 3" xfId="4713" xr:uid="{00000000-0005-0000-0000-000039180000}"/>
    <cellStyle name="Percentuale 11 4 4" xfId="7256" xr:uid="{00000000-0005-0000-0000-00003A180000}"/>
    <cellStyle name="Percentuale 11 5" xfId="1377" xr:uid="{00000000-0005-0000-0000-00003B180000}"/>
    <cellStyle name="Percentuale 11 5 2" xfId="7257" xr:uid="{00000000-0005-0000-0000-00003C180000}"/>
    <cellStyle name="Percentuale 11 6" xfId="1378" xr:uid="{00000000-0005-0000-0000-00003D180000}"/>
    <cellStyle name="Percentuale 12" xfId="1379" xr:uid="{00000000-0005-0000-0000-00003E180000}"/>
    <cellStyle name="Percentuale 12 2" xfId="1380" xr:uid="{00000000-0005-0000-0000-00003F180000}"/>
    <cellStyle name="Percentuale 12 2 2" xfId="4715" xr:uid="{00000000-0005-0000-0000-000040180000}"/>
    <cellStyle name="Percentuale 12 2 3" xfId="7258" xr:uid="{00000000-0005-0000-0000-000041180000}"/>
    <cellStyle name="Percentuale 12 3" xfId="1381" xr:uid="{00000000-0005-0000-0000-000042180000}"/>
    <cellStyle name="Percentuale 12 3 2" xfId="1382" xr:uid="{00000000-0005-0000-0000-000043180000}"/>
    <cellStyle name="Percentuale 12 3 2 2" xfId="2857" xr:uid="{00000000-0005-0000-0000-000044180000}"/>
    <cellStyle name="Percentuale 12 3 2 3" xfId="2856" xr:uid="{00000000-0005-0000-0000-000045180000}"/>
    <cellStyle name="Percentuale 12 3 3" xfId="3805" xr:uid="{00000000-0005-0000-0000-000046180000}"/>
    <cellStyle name="Percentuale 12 3 3 2" xfId="4717" xr:uid="{00000000-0005-0000-0000-000047180000}"/>
    <cellStyle name="Percentuale 12 3 3 3" xfId="7259" xr:uid="{00000000-0005-0000-0000-000048180000}"/>
    <cellStyle name="Percentuale 12 3 4" xfId="4716" xr:uid="{00000000-0005-0000-0000-000049180000}"/>
    <cellStyle name="Percentuale 12 3 5" xfId="7260" xr:uid="{00000000-0005-0000-0000-00004A180000}"/>
    <cellStyle name="Percentuale 12 4" xfId="1383" xr:uid="{00000000-0005-0000-0000-00004B180000}"/>
    <cellStyle name="Percentuale 12 4 2" xfId="2858" xr:uid="{00000000-0005-0000-0000-00004C180000}"/>
    <cellStyle name="Percentuale 12 4 2 2" xfId="4719" xr:uid="{00000000-0005-0000-0000-00004D180000}"/>
    <cellStyle name="Percentuale 12 4 3" xfId="4718" xr:uid="{00000000-0005-0000-0000-00004E180000}"/>
    <cellStyle name="Percentuale 12 4 4" xfId="7261" xr:uid="{00000000-0005-0000-0000-00004F180000}"/>
    <cellStyle name="Percentuale 12 5" xfId="1384" xr:uid="{00000000-0005-0000-0000-000050180000}"/>
    <cellStyle name="Percentuale 12 5 2" xfId="7262" xr:uid="{00000000-0005-0000-0000-000051180000}"/>
    <cellStyle name="Percentuale 12 6" xfId="1385" xr:uid="{00000000-0005-0000-0000-000052180000}"/>
    <cellStyle name="Percentuale 13" xfId="1386" xr:uid="{00000000-0005-0000-0000-000053180000}"/>
    <cellStyle name="Percentuale 13 2" xfId="1387" xr:uid="{00000000-0005-0000-0000-000054180000}"/>
    <cellStyle name="Percentuale 13 2 2" xfId="4720" xr:uid="{00000000-0005-0000-0000-000055180000}"/>
    <cellStyle name="Percentuale 13 2 3" xfId="7263" xr:uid="{00000000-0005-0000-0000-000056180000}"/>
    <cellStyle name="Percentuale 13 3" xfId="1388" xr:uid="{00000000-0005-0000-0000-000057180000}"/>
    <cellStyle name="Percentuale 13 3 2" xfId="1389" xr:uid="{00000000-0005-0000-0000-000058180000}"/>
    <cellStyle name="Percentuale 13 3 2 2" xfId="2860" xr:uid="{00000000-0005-0000-0000-000059180000}"/>
    <cellStyle name="Percentuale 13 3 2 3" xfId="2859" xr:uid="{00000000-0005-0000-0000-00005A180000}"/>
    <cellStyle name="Percentuale 13 3 3" xfId="3806" xr:uid="{00000000-0005-0000-0000-00005B180000}"/>
    <cellStyle name="Percentuale 13 3 3 2" xfId="4722" xr:uid="{00000000-0005-0000-0000-00005C180000}"/>
    <cellStyle name="Percentuale 13 3 3 3" xfId="7264" xr:uid="{00000000-0005-0000-0000-00005D180000}"/>
    <cellStyle name="Percentuale 13 3 4" xfId="4721" xr:uid="{00000000-0005-0000-0000-00005E180000}"/>
    <cellStyle name="Percentuale 13 3 5" xfId="7265" xr:uid="{00000000-0005-0000-0000-00005F180000}"/>
    <cellStyle name="Percentuale 13 4" xfId="1390" xr:uid="{00000000-0005-0000-0000-000060180000}"/>
    <cellStyle name="Percentuale 13 4 2" xfId="2861" xr:uid="{00000000-0005-0000-0000-000061180000}"/>
    <cellStyle name="Percentuale 13 4 2 2" xfId="4724" xr:uid="{00000000-0005-0000-0000-000062180000}"/>
    <cellStyle name="Percentuale 13 4 3" xfId="4723" xr:uid="{00000000-0005-0000-0000-000063180000}"/>
    <cellStyle name="Percentuale 13 4 4" xfId="7266" xr:uid="{00000000-0005-0000-0000-000064180000}"/>
    <cellStyle name="Percentuale 13 5" xfId="1391" xr:uid="{00000000-0005-0000-0000-000065180000}"/>
    <cellStyle name="Percentuale 13 5 2" xfId="7267" xr:uid="{00000000-0005-0000-0000-000066180000}"/>
    <cellStyle name="Percentuale 13 6" xfId="1392" xr:uid="{00000000-0005-0000-0000-000067180000}"/>
    <cellStyle name="Percentuale 14" xfId="1393" xr:uid="{00000000-0005-0000-0000-000068180000}"/>
    <cellStyle name="Percentuale 14 2" xfId="1394" xr:uid="{00000000-0005-0000-0000-000069180000}"/>
    <cellStyle name="Percentuale 14 2 2" xfId="4725" xr:uid="{00000000-0005-0000-0000-00006A180000}"/>
    <cellStyle name="Percentuale 14 2 3" xfId="7268" xr:uid="{00000000-0005-0000-0000-00006B180000}"/>
    <cellStyle name="Percentuale 14 3" xfId="1395" xr:uid="{00000000-0005-0000-0000-00006C180000}"/>
    <cellStyle name="Percentuale 14 3 2" xfId="1396" xr:uid="{00000000-0005-0000-0000-00006D180000}"/>
    <cellStyle name="Percentuale 14 3 2 2" xfId="2863" xr:uid="{00000000-0005-0000-0000-00006E180000}"/>
    <cellStyle name="Percentuale 14 3 2 3" xfId="2862" xr:uid="{00000000-0005-0000-0000-00006F180000}"/>
    <cellStyle name="Percentuale 14 3 3" xfId="3807" xr:uid="{00000000-0005-0000-0000-000070180000}"/>
    <cellStyle name="Percentuale 14 3 3 2" xfId="4727" xr:uid="{00000000-0005-0000-0000-000071180000}"/>
    <cellStyle name="Percentuale 14 3 3 3" xfId="7269" xr:uid="{00000000-0005-0000-0000-000072180000}"/>
    <cellStyle name="Percentuale 14 3 4" xfId="4726" xr:uid="{00000000-0005-0000-0000-000073180000}"/>
    <cellStyle name="Percentuale 14 3 5" xfId="7270" xr:uid="{00000000-0005-0000-0000-000074180000}"/>
    <cellStyle name="Percentuale 14 4" xfId="1397" xr:uid="{00000000-0005-0000-0000-000075180000}"/>
    <cellStyle name="Percentuale 14 4 2" xfId="2864" xr:uid="{00000000-0005-0000-0000-000076180000}"/>
    <cellStyle name="Percentuale 14 4 2 2" xfId="4729" xr:uid="{00000000-0005-0000-0000-000077180000}"/>
    <cellStyle name="Percentuale 14 4 3" xfId="4728" xr:uid="{00000000-0005-0000-0000-000078180000}"/>
    <cellStyle name="Percentuale 14 4 4" xfId="7271" xr:uid="{00000000-0005-0000-0000-000079180000}"/>
    <cellStyle name="Percentuale 14 5" xfId="1398" xr:uid="{00000000-0005-0000-0000-00007A180000}"/>
    <cellStyle name="Percentuale 14 5 2" xfId="7272" xr:uid="{00000000-0005-0000-0000-00007B180000}"/>
    <cellStyle name="Percentuale 14 6" xfId="1399" xr:uid="{00000000-0005-0000-0000-00007C180000}"/>
    <cellStyle name="Percentuale 15" xfId="1400" xr:uid="{00000000-0005-0000-0000-00007D180000}"/>
    <cellStyle name="Percentuale 15 2" xfId="1401" xr:uid="{00000000-0005-0000-0000-00007E180000}"/>
    <cellStyle name="Percentuale 15 2 2" xfId="4730" xr:uid="{00000000-0005-0000-0000-00007F180000}"/>
    <cellStyle name="Percentuale 15 2 3" xfId="7273" xr:uid="{00000000-0005-0000-0000-000080180000}"/>
    <cellStyle name="Percentuale 15 3" xfId="1402" xr:uid="{00000000-0005-0000-0000-000081180000}"/>
    <cellStyle name="Percentuale 15 3 2" xfId="1403" xr:uid="{00000000-0005-0000-0000-000082180000}"/>
    <cellStyle name="Percentuale 15 3 2 2" xfId="2866" xr:uid="{00000000-0005-0000-0000-000083180000}"/>
    <cellStyle name="Percentuale 15 3 2 3" xfId="2865" xr:uid="{00000000-0005-0000-0000-000084180000}"/>
    <cellStyle name="Percentuale 15 3 3" xfId="3808" xr:uid="{00000000-0005-0000-0000-000085180000}"/>
    <cellStyle name="Percentuale 15 3 3 2" xfId="4732" xr:uid="{00000000-0005-0000-0000-000086180000}"/>
    <cellStyle name="Percentuale 15 3 3 3" xfId="7274" xr:uid="{00000000-0005-0000-0000-000087180000}"/>
    <cellStyle name="Percentuale 15 3 4" xfId="4731" xr:uid="{00000000-0005-0000-0000-000088180000}"/>
    <cellStyle name="Percentuale 15 3 5" xfId="7275" xr:uid="{00000000-0005-0000-0000-000089180000}"/>
    <cellStyle name="Percentuale 15 4" xfId="1404" xr:uid="{00000000-0005-0000-0000-00008A180000}"/>
    <cellStyle name="Percentuale 15 4 2" xfId="2867" xr:uid="{00000000-0005-0000-0000-00008B180000}"/>
    <cellStyle name="Percentuale 15 4 2 2" xfId="4734" xr:uid="{00000000-0005-0000-0000-00008C180000}"/>
    <cellStyle name="Percentuale 15 4 3" xfId="4733" xr:uid="{00000000-0005-0000-0000-00008D180000}"/>
    <cellStyle name="Percentuale 15 4 4" xfId="7276" xr:uid="{00000000-0005-0000-0000-00008E180000}"/>
    <cellStyle name="Percentuale 15 5" xfId="1405" xr:uid="{00000000-0005-0000-0000-00008F180000}"/>
    <cellStyle name="Percentuale 15 5 2" xfId="7277" xr:uid="{00000000-0005-0000-0000-000090180000}"/>
    <cellStyle name="Percentuale 15 6" xfId="1406" xr:uid="{00000000-0005-0000-0000-000091180000}"/>
    <cellStyle name="Percentuale 16" xfId="1407" xr:uid="{00000000-0005-0000-0000-000092180000}"/>
    <cellStyle name="Percentuale 16 2" xfId="1408" xr:uid="{00000000-0005-0000-0000-000093180000}"/>
    <cellStyle name="Percentuale 16 2 2" xfId="4735" xr:uid="{00000000-0005-0000-0000-000094180000}"/>
    <cellStyle name="Percentuale 16 2 3" xfId="7278" xr:uid="{00000000-0005-0000-0000-000095180000}"/>
    <cellStyle name="Percentuale 16 3" xfId="1409" xr:uid="{00000000-0005-0000-0000-000096180000}"/>
    <cellStyle name="Percentuale 16 3 2" xfId="1410" xr:uid="{00000000-0005-0000-0000-000097180000}"/>
    <cellStyle name="Percentuale 16 3 2 2" xfId="2869" xr:uid="{00000000-0005-0000-0000-000098180000}"/>
    <cellStyle name="Percentuale 16 3 2 3" xfId="2868" xr:uid="{00000000-0005-0000-0000-000099180000}"/>
    <cellStyle name="Percentuale 16 3 3" xfId="3809" xr:uid="{00000000-0005-0000-0000-00009A180000}"/>
    <cellStyle name="Percentuale 16 3 3 2" xfId="4737" xr:uid="{00000000-0005-0000-0000-00009B180000}"/>
    <cellStyle name="Percentuale 16 3 3 3" xfId="7279" xr:uid="{00000000-0005-0000-0000-00009C180000}"/>
    <cellStyle name="Percentuale 16 3 4" xfId="4736" xr:uid="{00000000-0005-0000-0000-00009D180000}"/>
    <cellStyle name="Percentuale 16 3 5" xfId="7280" xr:uid="{00000000-0005-0000-0000-00009E180000}"/>
    <cellStyle name="Percentuale 16 4" xfId="1411" xr:uid="{00000000-0005-0000-0000-00009F180000}"/>
    <cellStyle name="Percentuale 16 4 2" xfId="2870" xr:uid="{00000000-0005-0000-0000-0000A0180000}"/>
    <cellStyle name="Percentuale 16 4 2 2" xfId="4739" xr:uid="{00000000-0005-0000-0000-0000A1180000}"/>
    <cellStyle name="Percentuale 16 4 3" xfId="4738" xr:uid="{00000000-0005-0000-0000-0000A2180000}"/>
    <cellStyle name="Percentuale 16 4 4" xfId="7281" xr:uid="{00000000-0005-0000-0000-0000A3180000}"/>
    <cellStyle name="Percentuale 16 5" xfId="1412" xr:uid="{00000000-0005-0000-0000-0000A4180000}"/>
    <cellStyle name="Percentuale 16 5 2" xfId="7282" xr:uid="{00000000-0005-0000-0000-0000A5180000}"/>
    <cellStyle name="Percentuale 16 6" xfId="1413" xr:uid="{00000000-0005-0000-0000-0000A6180000}"/>
    <cellStyle name="Percentuale 17" xfId="1414" xr:uid="{00000000-0005-0000-0000-0000A7180000}"/>
    <cellStyle name="Percentuale 17 2" xfId="1415" xr:uid="{00000000-0005-0000-0000-0000A8180000}"/>
    <cellStyle name="Percentuale 17 2 2" xfId="4740" xr:uid="{00000000-0005-0000-0000-0000A9180000}"/>
    <cellStyle name="Percentuale 17 2 3" xfId="7283" xr:uid="{00000000-0005-0000-0000-0000AA180000}"/>
    <cellStyle name="Percentuale 17 3" xfId="1416" xr:uid="{00000000-0005-0000-0000-0000AB180000}"/>
    <cellStyle name="Percentuale 17 3 2" xfId="1417" xr:uid="{00000000-0005-0000-0000-0000AC180000}"/>
    <cellStyle name="Percentuale 17 3 2 2" xfId="2872" xr:uid="{00000000-0005-0000-0000-0000AD180000}"/>
    <cellStyle name="Percentuale 17 3 2 3" xfId="2871" xr:uid="{00000000-0005-0000-0000-0000AE180000}"/>
    <cellStyle name="Percentuale 17 3 3" xfId="3810" xr:uid="{00000000-0005-0000-0000-0000AF180000}"/>
    <cellStyle name="Percentuale 17 3 3 2" xfId="4742" xr:uid="{00000000-0005-0000-0000-0000B0180000}"/>
    <cellStyle name="Percentuale 17 3 3 3" xfId="7284" xr:uid="{00000000-0005-0000-0000-0000B1180000}"/>
    <cellStyle name="Percentuale 17 3 4" xfId="4741" xr:uid="{00000000-0005-0000-0000-0000B2180000}"/>
    <cellStyle name="Percentuale 17 3 5" xfId="7285" xr:uid="{00000000-0005-0000-0000-0000B3180000}"/>
    <cellStyle name="Percentuale 17 4" xfId="1418" xr:uid="{00000000-0005-0000-0000-0000B4180000}"/>
    <cellStyle name="Percentuale 17 4 2" xfId="2873" xr:uid="{00000000-0005-0000-0000-0000B5180000}"/>
    <cellStyle name="Percentuale 17 4 2 2" xfId="4744" xr:uid="{00000000-0005-0000-0000-0000B6180000}"/>
    <cellStyle name="Percentuale 17 4 3" xfId="4743" xr:uid="{00000000-0005-0000-0000-0000B7180000}"/>
    <cellStyle name="Percentuale 17 4 4" xfId="7286" xr:uid="{00000000-0005-0000-0000-0000B8180000}"/>
    <cellStyle name="Percentuale 17 4 5" xfId="7287" xr:uid="{00000000-0005-0000-0000-0000B9180000}"/>
    <cellStyle name="Percentuale 17 5" xfId="1419" xr:uid="{00000000-0005-0000-0000-0000BA180000}"/>
    <cellStyle name="Percentuale 17 5 2" xfId="7288" xr:uid="{00000000-0005-0000-0000-0000BB180000}"/>
    <cellStyle name="Percentuale 17 5 3" xfId="7289" xr:uid="{00000000-0005-0000-0000-0000BC180000}"/>
    <cellStyle name="Percentuale 17 6" xfId="1420" xr:uid="{00000000-0005-0000-0000-0000BD180000}"/>
    <cellStyle name="Percentuale 18" xfId="1421" xr:uid="{00000000-0005-0000-0000-0000BE180000}"/>
    <cellStyle name="Percentuale 18 2" xfId="1422" xr:uid="{00000000-0005-0000-0000-0000BF180000}"/>
    <cellStyle name="Percentuale 18 2 2" xfId="4745" xr:uid="{00000000-0005-0000-0000-0000C0180000}"/>
    <cellStyle name="Percentuale 18 2 3" xfId="7290" xr:uid="{00000000-0005-0000-0000-0000C1180000}"/>
    <cellStyle name="Percentuale 18 2 4" xfId="7291" xr:uid="{00000000-0005-0000-0000-0000C2180000}"/>
    <cellStyle name="Percentuale 18 3" xfId="1423" xr:uid="{00000000-0005-0000-0000-0000C3180000}"/>
    <cellStyle name="Percentuale 18 3 2" xfId="1424" xr:uid="{00000000-0005-0000-0000-0000C4180000}"/>
    <cellStyle name="Percentuale 18 3 2 2" xfId="2875" xr:uid="{00000000-0005-0000-0000-0000C5180000}"/>
    <cellStyle name="Percentuale 18 3 2 3" xfId="2874" xr:uid="{00000000-0005-0000-0000-0000C6180000}"/>
    <cellStyle name="Percentuale 18 3 3" xfId="3811" xr:uid="{00000000-0005-0000-0000-0000C7180000}"/>
    <cellStyle name="Percentuale 18 3 3 2" xfId="4747" xr:uid="{00000000-0005-0000-0000-0000C8180000}"/>
    <cellStyle name="Percentuale 18 3 3 3" xfId="7292" xr:uid="{00000000-0005-0000-0000-0000C9180000}"/>
    <cellStyle name="Percentuale 18 3 3 4" xfId="7293" xr:uid="{00000000-0005-0000-0000-0000CA180000}"/>
    <cellStyle name="Percentuale 18 3 4" xfId="4746" xr:uid="{00000000-0005-0000-0000-0000CB180000}"/>
    <cellStyle name="Percentuale 18 3 5" xfId="7294" xr:uid="{00000000-0005-0000-0000-0000CC180000}"/>
    <cellStyle name="Percentuale 18 3 6" xfId="7295" xr:uid="{00000000-0005-0000-0000-0000CD180000}"/>
    <cellStyle name="Percentuale 18 4" xfId="1425" xr:uid="{00000000-0005-0000-0000-0000CE180000}"/>
    <cellStyle name="Percentuale 18 4 2" xfId="2876" xr:uid="{00000000-0005-0000-0000-0000CF180000}"/>
    <cellStyle name="Percentuale 18 4 2 2" xfId="4749" xr:uid="{00000000-0005-0000-0000-0000D0180000}"/>
    <cellStyle name="Percentuale 18 4 3" xfId="4748" xr:uid="{00000000-0005-0000-0000-0000D1180000}"/>
    <cellStyle name="Percentuale 18 4 4" xfId="7296" xr:uid="{00000000-0005-0000-0000-0000D2180000}"/>
    <cellStyle name="Percentuale 18 4 5" xfId="7297" xr:uid="{00000000-0005-0000-0000-0000D3180000}"/>
    <cellStyle name="Percentuale 18 5" xfId="1426" xr:uid="{00000000-0005-0000-0000-0000D4180000}"/>
    <cellStyle name="Percentuale 18 5 2" xfId="7298" xr:uid="{00000000-0005-0000-0000-0000D5180000}"/>
    <cellStyle name="Percentuale 18 5 3" xfId="7299" xr:uid="{00000000-0005-0000-0000-0000D6180000}"/>
    <cellStyle name="Percentuale 18 6" xfId="1427" xr:uid="{00000000-0005-0000-0000-0000D7180000}"/>
    <cellStyle name="Percentuale 18 7" xfId="7300" xr:uid="{00000000-0005-0000-0000-0000D8180000}"/>
    <cellStyle name="Percentuale 19" xfId="1428" xr:uid="{00000000-0005-0000-0000-0000D9180000}"/>
    <cellStyle name="Percentuale 19 2" xfId="1429" xr:uid="{00000000-0005-0000-0000-0000DA180000}"/>
    <cellStyle name="Percentuale 19 2 2" xfId="4750" xr:uid="{00000000-0005-0000-0000-0000DB180000}"/>
    <cellStyle name="Percentuale 19 2 3" xfId="7301" xr:uid="{00000000-0005-0000-0000-0000DC180000}"/>
    <cellStyle name="Percentuale 19 2 4" xfId="7302" xr:uid="{00000000-0005-0000-0000-0000DD180000}"/>
    <cellStyle name="Percentuale 19 3" xfId="1430" xr:uid="{00000000-0005-0000-0000-0000DE180000}"/>
    <cellStyle name="Percentuale 19 3 2" xfId="1431" xr:uid="{00000000-0005-0000-0000-0000DF180000}"/>
    <cellStyle name="Percentuale 19 3 2 2" xfId="2878" xr:uid="{00000000-0005-0000-0000-0000E0180000}"/>
    <cellStyle name="Percentuale 19 3 2 3" xfId="2877" xr:uid="{00000000-0005-0000-0000-0000E1180000}"/>
    <cellStyle name="Percentuale 19 3 3" xfId="3812" xr:uid="{00000000-0005-0000-0000-0000E2180000}"/>
    <cellStyle name="Percentuale 19 3 3 2" xfId="4752" xr:uid="{00000000-0005-0000-0000-0000E3180000}"/>
    <cellStyle name="Percentuale 19 3 3 3" xfId="7303" xr:uid="{00000000-0005-0000-0000-0000E4180000}"/>
    <cellStyle name="Percentuale 19 3 3 4" xfId="7304" xr:uid="{00000000-0005-0000-0000-0000E5180000}"/>
    <cellStyle name="Percentuale 19 3 4" xfId="4751" xr:uid="{00000000-0005-0000-0000-0000E6180000}"/>
    <cellStyle name="Percentuale 19 3 5" xfId="7305" xr:uid="{00000000-0005-0000-0000-0000E7180000}"/>
    <cellStyle name="Percentuale 19 3 6" xfId="7306" xr:uid="{00000000-0005-0000-0000-0000E8180000}"/>
    <cellStyle name="Percentuale 19 4" xfId="1432" xr:uid="{00000000-0005-0000-0000-0000E9180000}"/>
    <cellStyle name="Percentuale 19 4 2" xfId="2879" xr:uid="{00000000-0005-0000-0000-0000EA180000}"/>
    <cellStyle name="Percentuale 19 4 2 2" xfId="4754" xr:uid="{00000000-0005-0000-0000-0000EB180000}"/>
    <cellStyle name="Percentuale 19 4 3" xfId="4753" xr:uid="{00000000-0005-0000-0000-0000EC180000}"/>
    <cellStyle name="Percentuale 19 4 4" xfId="7307" xr:uid="{00000000-0005-0000-0000-0000ED180000}"/>
    <cellStyle name="Percentuale 19 4 5" xfId="7308" xr:uid="{00000000-0005-0000-0000-0000EE180000}"/>
    <cellStyle name="Percentuale 19 5" xfId="1433" xr:uid="{00000000-0005-0000-0000-0000EF180000}"/>
    <cellStyle name="Percentuale 19 5 2" xfId="7309" xr:uid="{00000000-0005-0000-0000-0000F0180000}"/>
    <cellStyle name="Percentuale 19 5 3" xfId="7310" xr:uid="{00000000-0005-0000-0000-0000F1180000}"/>
    <cellStyle name="Percentuale 19 6" xfId="1434" xr:uid="{00000000-0005-0000-0000-0000F2180000}"/>
    <cellStyle name="Percentuale 19 7" xfId="7311" xr:uid="{00000000-0005-0000-0000-0000F3180000}"/>
    <cellStyle name="Percentuale 2" xfId="1435" xr:uid="{00000000-0005-0000-0000-0000F4180000}"/>
    <cellStyle name="Percentuale 2 2" xfId="1436" xr:uid="{00000000-0005-0000-0000-0000F5180000}"/>
    <cellStyle name="Percentuale 2 2 2" xfId="4755" xr:uid="{00000000-0005-0000-0000-0000F6180000}"/>
    <cellStyle name="Percentuale 2 2 3" xfId="7312" xr:uid="{00000000-0005-0000-0000-0000F7180000}"/>
    <cellStyle name="Percentuale 2 2 4" xfId="7313" xr:uid="{00000000-0005-0000-0000-0000F8180000}"/>
    <cellStyle name="Percentuale 2 3" xfId="1437" xr:uid="{00000000-0005-0000-0000-0000F9180000}"/>
    <cellStyle name="Percentuale 2 3 2" xfId="1438" xr:uid="{00000000-0005-0000-0000-0000FA180000}"/>
    <cellStyle name="Percentuale 2 3 2 2" xfId="2881" xr:uid="{00000000-0005-0000-0000-0000FB180000}"/>
    <cellStyle name="Percentuale 2 3 2 3" xfId="2880" xr:uid="{00000000-0005-0000-0000-0000FC180000}"/>
    <cellStyle name="Percentuale 2 3 3" xfId="3813" xr:uid="{00000000-0005-0000-0000-0000FD180000}"/>
    <cellStyle name="Percentuale 2 3 3 2" xfId="4757" xr:uid="{00000000-0005-0000-0000-0000FE180000}"/>
    <cellStyle name="Percentuale 2 3 3 3" xfId="7314" xr:uid="{00000000-0005-0000-0000-0000FF180000}"/>
    <cellStyle name="Percentuale 2 3 3 4" xfId="7315" xr:uid="{00000000-0005-0000-0000-000000190000}"/>
    <cellStyle name="Percentuale 2 3 4" xfId="4756" xr:uid="{00000000-0005-0000-0000-000001190000}"/>
    <cellStyle name="Percentuale 2 3 5" xfId="7316" xr:uid="{00000000-0005-0000-0000-000002190000}"/>
    <cellStyle name="Percentuale 2 3 6" xfId="7317" xr:uid="{00000000-0005-0000-0000-000003190000}"/>
    <cellStyle name="Percentuale 2 4" xfId="1439" xr:uid="{00000000-0005-0000-0000-000004190000}"/>
    <cellStyle name="Percentuale 2 4 2" xfId="2882" xr:uid="{00000000-0005-0000-0000-000005190000}"/>
    <cellStyle name="Percentuale 2 4 2 2" xfId="4759" xr:uid="{00000000-0005-0000-0000-000006190000}"/>
    <cellStyle name="Percentuale 2 4 3" xfId="4758" xr:uid="{00000000-0005-0000-0000-000007190000}"/>
    <cellStyle name="Percentuale 2 4 4" xfId="7318" xr:uid="{00000000-0005-0000-0000-000008190000}"/>
    <cellStyle name="Percentuale 2 4 5" xfId="7319" xr:uid="{00000000-0005-0000-0000-000009190000}"/>
    <cellStyle name="Percentuale 2 5" xfId="1440" xr:uid="{00000000-0005-0000-0000-00000A190000}"/>
    <cellStyle name="Percentuale 2 5 2" xfId="7320" xr:uid="{00000000-0005-0000-0000-00000B190000}"/>
    <cellStyle name="Percentuale 2 5 3" xfId="7321" xr:uid="{00000000-0005-0000-0000-00000C190000}"/>
    <cellStyle name="Percentuale 2 6" xfId="1441" xr:uid="{00000000-0005-0000-0000-00000D190000}"/>
    <cellStyle name="Percentuale 2 7" xfId="7322" xr:uid="{00000000-0005-0000-0000-00000E190000}"/>
    <cellStyle name="Percentuale 20" xfId="1442" xr:uid="{00000000-0005-0000-0000-00000F190000}"/>
    <cellStyle name="Percentuale 20 2" xfId="1443" xr:uid="{00000000-0005-0000-0000-000010190000}"/>
    <cellStyle name="Percentuale 20 2 2" xfId="4760" xr:uid="{00000000-0005-0000-0000-000011190000}"/>
    <cellStyle name="Percentuale 20 2 3" xfId="7323" xr:uid="{00000000-0005-0000-0000-000012190000}"/>
    <cellStyle name="Percentuale 20 2 4" xfId="7324" xr:uid="{00000000-0005-0000-0000-000013190000}"/>
    <cellStyle name="Percentuale 20 3" xfId="1444" xr:uid="{00000000-0005-0000-0000-000014190000}"/>
    <cellStyle name="Percentuale 20 3 2" xfId="1445" xr:uid="{00000000-0005-0000-0000-000015190000}"/>
    <cellStyle name="Percentuale 20 3 2 2" xfId="2884" xr:uid="{00000000-0005-0000-0000-000016190000}"/>
    <cellStyle name="Percentuale 20 3 2 3" xfId="2883" xr:uid="{00000000-0005-0000-0000-000017190000}"/>
    <cellStyle name="Percentuale 20 3 3" xfId="3814" xr:uid="{00000000-0005-0000-0000-000018190000}"/>
    <cellStyle name="Percentuale 20 3 3 2" xfId="4762" xr:uid="{00000000-0005-0000-0000-000019190000}"/>
    <cellStyle name="Percentuale 20 3 3 3" xfId="7325" xr:uid="{00000000-0005-0000-0000-00001A190000}"/>
    <cellStyle name="Percentuale 20 3 3 4" xfId="7326" xr:uid="{00000000-0005-0000-0000-00001B190000}"/>
    <cellStyle name="Percentuale 20 3 4" xfId="4761" xr:uid="{00000000-0005-0000-0000-00001C190000}"/>
    <cellStyle name="Percentuale 20 3 5" xfId="7327" xr:uid="{00000000-0005-0000-0000-00001D190000}"/>
    <cellStyle name="Percentuale 20 3 6" xfId="7328" xr:uid="{00000000-0005-0000-0000-00001E190000}"/>
    <cellStyle name="Percentuale 20 4" xfId="1446" xr:uid="{00000000-0005-0000-0000-00001F190000}"/>
    <cellStyle name="Percentuale 20 4 2" xfId="2885" xr:uid="{00000000-0005-0000-0000-000020190000}"/>
    <cellStyle name="Percentuale 20 4 2 2" xfId="4764" xr:uid="{00000000-0005-0000-0000-000021190000}"/>
    <cellStyle name="Percentuale 20 4 3" xfId="4763" xr:uid="{00000000-0005-0000-0000-000022190000}"/>
    <cellStyle name="Percentuale 20 4 4" xfId="7329" xr:uid="{00000000-0005-0000-0000-000023190000}"/>
    <cellStyle name="Percentuale 20 4 5" xfId="7330" xr:uid="{00000000-0005-0000-0000-000024190000}"/>
    <cellStyle name="Percentuale 20 5" xfId="1447" xr:uid="{00000000-0005-0000-0000-000025190000}"/>
    <cellStyle name="Percentuale 20 5 2" xfId="7331" xr:uid="{00000000-0005-0000-0000-000026190000}"/>
    <cellStyle name="Percentuale 20 5 3" xfId="7332" xr:uid="{00000000-0005-0000-0000-000027190000}"/>
    <cellStyle name="Percentuale 20 6" xfId="1448" xr:uid="{00000000-0005-0000-0000-000028190000}"/>
    <cellStyle name="Percentuale 20 7" xfId="7333" xr:uid="{00000000-0005-0000-0000-000029190000}"/>
    <cellStyle name="Percentuale 21" xfId="1449" xr:uid="{00000000-0005-0000-0000-00002A190000}"/>
    <cellStyle name="Percentuale 21 2" xfId="1450" xr:uid="{00000000-0005-0000-0000-00002B190000}"/>
    <cellStyle name="Percentuale 21 2 2" xfId="4765" xr:uid="{00000000-0005-0000-0000-00002C190000}"/>
    <cellStyle name="Percentuale 21 2 3" xfId="7334" xr:uid="{00000000-0005-0000-0000-00002D190000}"/>
    <cellStyle name="Percentuale 21 2 4" xfId="7335" xr:uid="{00000000-0005-0000-0000-00002E190000}"/>
    <cellStyle name="Percentuale 21 3" xfId="1451" xr:uid="{00000000-0005-0000-0000-00002F190000}"/>
    <cellStyle name="Percentuale 21 3 2" xfId="1452" xr:uid="{00000000-0005-0000-0000-000030190000}"/>
    <cellStyle name="Percentuale 21 3 2 2" xfId="2887" xr:uid="{00000000-0005-0000-0000-000031190000}"/>
    <cellStyle name="Percentuale 21 3 2 3" xfId="2886" xr:uid="{00000000-0005-0000-0000-000032190000}"/>
    <cellStyle name="Percentuale 21 3 3" xfId="3815" xr:uid="{00000000-0005-0000-0000-000033190000}"/>
    <cellStyle name="Percentuale 21 3 3 2" xfId="4767" xr:uid="{00000000-0005-0000-0000-000034190000}"/>
    <cellStyle name="Percentuale 21 3 3 3" xfId="7336" xr:uid="{00000000-0005-0000-0000-000035190000}"/>
    <cellStyle name="Percentuale 21 3 3 4" xfId="7337" xr:uid="{00000000-0005-0000-0000-000036190000}"/>
    <cellStyle name="Percentuale 21 3 4" xfId="4766" xr:uid="{00000000-0005-0000-0000-000037190000}"/>
    <cellStyle name="Percentuale 21 3 5" xfId="7338" xr:uid="{00000000-0005-0000-0000-000038190000}"/>
    <cellStyle name="Percentuale 21 3 6" xfId="7339" xr:uid="{00000000-0005-0000-0000-000039190000}"/>
    <cellStyle name="Percentuale 21 4" xfId="1453" xr:uid="{00000000-0005-0000-0000-00003A190000}"/>
    <cellStyle name="Percentuale 21 4 2" xfId="2888" xr:uid="{00000000-0005-0000-0000-00003B190000}"/>
    <cellStyle name="Percentuale 21 4 2 2" xfId="4769" xr:uid="{00000000-0005-0000-0000-00003C190000}"/>
    <cellStyle name="Percentuale 21 4 3" xfId="4768" xr:uid="{00000000-0005-0000-0000-00003D190000}"/>
    <cellStyle name="Percentuale 21 4 4" xfId="7340" xr:uid="{00000000-0005-0000-0000-00003E190000}"/>
    <cellStyle name="Percentuale 21 4 5" xfId="7341" xr:uid="{00000000-0005-0000-0000-00003F190000}"/>
    <cellStyle name="Percentuale 21 5" xfId="1454" xr:uid="{00000000-0005-0000-0000-000040190000}"/>
    <cellStyle name="Percentuale 21 5 2" xfId="7342" xr:uid="{00000000-0005-0000-0000-000041190000}"/>
    <cellStyle name="Percentuale 21 5 3" xfId="7343" xr:uid="{00000000-0005-0000-0000-000042190000}"/>
    <cellStyle name="Percentuale 21 6" xfId="1455" xr:uid="{00000000-0005-0000-0000-000043190000}"/>
    <cellStyle name="Percentuale 21 7" xfId="7344" xr:uid="{00000000-0005-0000-0000-000044190000}"/>
    <cellStyle name="Percentuale 22" xfId="1456" xr:uid="{00000000-0005-0000-0000-000045190000}"/>
    <cellStyle name="Percentuale 22 2" xfId="1457" xr:uid="{00000000-0005-0000-0000-000046190000}"/>
    <cellStyle name="Percentuale 22 2 2" xfId="4770" xr:uid="{00000000-0005-0000-0000-000047190000}"/>
    <cellStyle name="Percentuale 22 2 3" xfId="7345" xr:uid="{00000000-0005-0000-0000-000048190000}"/>
    <cellStyle name="Percentuale 22 2 4" xfId="7346" xr:uid="{00000000-0005-0000-0000-000049190000}"/>
    <cellStyle name="Percentuale 22 3" xfId="1458" xr:uid="{00000000-0005-0000-0000-00004A190000}"/>
    <cellStyle name="Percentuale 22 3 2" xfId="1459" xr:uid="{00000000-0005-0000-0000-00004B190000}"/>
    <cellStyle name="Percentuale 22 3 2 2" xfId="2890" xr:uid="{00000000-0005-0000-0000-00004C190000}"/>
    <cellStyle name="Percentuale 22 3 2 3" xfId="2889" xr:uid="{00000000-0005-0000-0000-00004D190000}"/>
    <cellStyle name="Percentuale 22 3 3" xfId="3816" xr:uid="{00000000-0005-0000-0000-00004E190000}"/>
    <cellStyle name="Percentuale 22 3 3 2" xfId="4772" xr:uid="{00000000-0005-0000-0000-00004F190000}"/>
    <cellStyle name="Percentuale 22 3 3 3" xfId="7347" xr:uid="{00000000-0005-0000-0000-000050190000}"/>
    <cellStyle name="Percentuale 22 3 3 4" xfId="7348" xr:uid="{00000000-0005-0000-0000-000051190000}"/>
    <cellStyle name="Percentuale 22 3 4" xfId="4771" xr:uid="{00000000-0005-0000-0000-000052190000}"/>
    <cellStyle name="Percentuale 22 3 5" xfId="7349" xr:uid="{00000000-0005-0000-0000-000053190000}"/>
    <cellStyle name="Percentuale 22 3 6" xfId="7350" xr:uid="{00000000-0005-0000-0000-000054190000}"/>
    <cellStyle name="Percentuale 22 4" xfId="1460" xr:uid="{00000000-0005-0000-0000-000055190000}"/>
    <cellStyle name="Percentuale 22 4 2" xfId="2891" xr:uid="{00000000-0005-0000-0000-000056190000}"/>
    <cellStyle name="Percentuale 22 4 2 2" xfId="4774" xr:uid="{00000000-0005-0000-0000-000057190000}"/>
    <cellStyle name="Percentuale 22 4 3" xfId="4773" xr:uid="{00000000-0005-0000-0000-000058190000}"/>
    <cellStyle name="Percentuale 22 4 4" xfId="7351" xr:uid="{00000000-0005-0000-0000-000059190000}"/>
    <cellStyle name="Percentuale 22 4 5" xfId="7352" xr:uid="{00000000-0005-0000-0000-00005A190000}"/>
    <cellStyle name="Percentuale 22 5" xfId="1461" xr:uid="{00000000-0005-0000-0000-00005B190000}"/>
    <cellStyle name="Percentuale 22 5 2" xfId="7353" xr:uid="{00000000-0005-0000-0000-00005C190000}"/>
    <cellStyle name="Percentuale 22 5 3" xfId="7354" xr:uid="{00000000-0005-0000-0000-00005D190000}"/>
    <cellStyle name="Percentuale 22 6" xfId="1462" xr:uid="{00000000-0005-0000-0000-00005E190000}"/>
    <cellStyle name="Percentuale 22 7" xfId="7355" xr:uid="{00000000-0005-0000-0000-00005F190000}"/>
    <cellStyle name="Percentuale 23" xfId="1463" xr:uid="{00000000-0005-0000-0000-000060190000}"/>
    <cellStyle name="Percentuale 23 2" xfId="1464" xr:uid="{00000000-0005-0000-0000-000061190000}"/>
    <cellStyle name="Percentuale 23 2 2" xfId="4775" xr:uid="{00000000-0005-0000-0000-000062190000}"/>
    <cellStyle name="Percentuale 23 2 3" xfId="7356" xr:uid="{00000000-0005-0000-0000-000063190000}"/>
    <cellStyle name="Percentuale 23 2 4" xfId="7357" xr:uid="{00000000-0005-0000-0000-000064190000}"/>
    <cellStyle name="Percentuale 23 3" xfId="1465" xr:uid="{00000000-0005-0000-0000-000065190000}"/>
    <cellStyle name="Percentuale 23 3 2" xfId="1466" xr:uid="{00000000-0005-0000-0000-000066190000}"/>
    <cellStyle name="Percentuale 23 3 2 2" xfId="2893" xr:uid="{00000000-0005-0000-0000-000067190000}"/>
    <cellStyle name="Percentuale 23 3 2 3" xfId="2892" xr:uid="{00000000-0005-0000-0000-000068190000}"/>
    <cellStyle name="Percentuale 23 3 3" xfId="3817" xr:uid="{00000000-0005-0000-0000-000069190000}"/>
    <cellStyle name="Percentuale 23 3 3 2" xfId="4777" xr:uid="{00000000-0005-0000-0000-00006A190000}"/>
    <cellStyle name="Percentuale 23 3 3 3" xfId="7358" xr:uid="{00000000-0005-0000-0000-00006B190000}"/>
    <cellStyle name="Percentuale 23 3 3 4" xfId="7359" xr:uid="{00000000-0005-0000-0000-00006C190000}"/>
    <cellStyle name="Percentuale 23 3 4" xfId="4776" xr:uid="{00000000-0005-0000-0000-00006D190000}"/>
    <cellStyle name="Percentuale 23 3 5" xfId="7360" xr:uid="{00000000-0005-0000-0000-00006E190000}"/>
    <cellStyle name="Percentuale 23 3 6" xfId="7361" xr:uid="{00000000-0005-0000-0000-00006F190000}"/>
    <cellStyle name="Percentuale 23 4" xfId="1467" xr:uid="{00000000-0005-0000-0000-000070190000}"/>
    <cellStyle name="Percentuale 23 4 2" xfId="2894" xr:uid="{00000000-0005-0000-0000-000071190000}"/>
    <cellStyle name="Percentuale 23 4 2 2" xfId="4779" xr:uid="{00000000-0005-0000-0000-000072190000}"/>
    <cellStyle name="Percentuale 23 4 3" xfId="4778" xr:uid="{00000000-0005-0000-0000-000073190000}"/>
    <cellStyle name="Percentuale 23 4 4" xfId="7362" xr:uid="{00000000-0005-0000-0000-000074190000}"/>
    <cellStyle name="Percentuale 23 4 5" xfId="7363" xr:uid="{00000000-0005-0000-0000-000075190000}"/>
    <cellStyle name="Percentuale 23 5" xfId="1468" xr:uid="{00000000-0005-0000-0000-000076190000}"/>
    <cellStyle name="Percentuale 23 5 2" xfId="7364" xr:uid="{00000000-0005-0000-0000-000077190000}"/>
    <cellStyle name="Percentuale 23 5 3" xfId="7365" xr:uid="{00000000-0005-0000-0000-000078190000}"/>
    <cellStyle name="Percentuale 23 6" xfId="1469" xr:uid="{00000000-0005-0000-0000-000079190000}"/>
    <cellStyle name="Percentuale 23 7" xfId="7366" xr:uid="{00000000-0005-0000-0000-00007A190000}"/>
    <cellStyle name="Percentuale 24" xfId="1470" xr:uid="{00000000-0005-0000-0000-00007B190000}"/>
    <cellStyle name="Percentuale 24 2" xfId="1471" xr:uid="{00000000-0005-0000-0000-00007C190000}"/>
    <cellStyle name="Percentuale 24 2 2" xfId="4780" xr:uid="{00000000-0005-0000-0000-00007D190000}"/>
    <cellStyle name="Percentuale 24 2 3" xfId="7367" xr:uid="{00000000-0005-0000-0000-00007E190000}"/>
    <cellStyle name="Percentuale 24 2 4" xfId="7368" xr:uid="{00000000-0005-0000-0000-00007F190000}"/>
    <cellStyle name="Percentuale 24 3" xfId="1472" xr:uid="{00000000-0005-0000-0000-000080190000}"/>
    <cellStyle name="Percentuale 24 3 2" xfId="1473" xr:uid="{00000000-0005-0000-0000-000081190000}"/>
    <cellStyle name="Percentuale 24 3 2 2" xfId="2896" xr:uid="{00000000-0005-0000-0000-000082190000}"/>
    <cellStyle name="Percentuale 24 3 2 3" xfId="2895" xr:uid="{00000000-0005-0000-0000-000083190000}"/>
    <cellStyle name="Percentuale 24 3 3" xfId="3818" xr:uid="{00000000-0005-0000-0000-000084190000}"/>
    <cellStyle name="Percentuale 24 3 3 2" xfId="4782" xr:uid="{00000000-0005-0000-0000-000085190000}"/>
    <cellStyle name="Percentuale 24 3 3 3" xfId="7369" xr:uid="{00000000-0005-0000-0000-000086190000}"/>
    <cellStyle name="Percentuale 24 3 3 4" xfId="7370" xr:uid="{00000000-0005-0000-0000-000087190000}"/>
    <cellStyle name="Percentuale 24 3 4" xfId="4781" xr:uid="{00000000-0005-0000-0000-000088190000}"/>
    <cellStyle name="Percentuale 24 3 5" xfId="7371" xr:uid="{00000000-0005-0000-0000-000089190000}"/>
    <cellStyle name="Percentuale 24 3 6" xfId="7372" xr:uid="{00000000-0005-0000-0000-00008A190000}"/>
    <cellStyle name="Percentuale 24 4" xfId="1474" xr:uid="{00000000-0005-0000-0000-00008B190000}"/>
    <cellStyle name="Percentuale 24 4 2" xfId="2897" xr:uid="{00000000-0005-0000-0000-00008C190000}"/>
    <cellStyle name="Percentuale 24 4 2 2" xfId="4784" xr:uid="{00000000-0005-0000-0000-00008D190000}"/>
    <cellStyle name="Percentuale 24 4 3" xfId="4783" xr:uid="{00000000-0005-0000-0000-00008E190000}"/>
    <cellStyle name="Percentuale 24 4 4" xfId="7373" xr:uid="{00000000-0005-0000-0000-00008F190000}"/>
    <cellStyle name="Percentuale 24 4 5" xfId="7374" xr:uid="{00000000-0005-0000-0000-000090190000}"/>
    <cellStyle name="Percentuale 24 5" xfId="1475" xr:uid="{00000000-0005-0000-0000-000091190000}"/>
    <cellStyle name="Percentuale 24 5 2" xfId="7375" xr:uid="{00000000-0005-0000-0000-000092190000}"/>
    <cellStyle name="Percentuale 24 5 3" xfId="7376" xr:uid="{00000000-0005-0000-0000-000093190000}"/>
    <cellStyle name="Percentuale 24 6" xfId="1476" xr:uid="{00000000-0005-0000-0000-000094190000}"/>
    <cellStyle name="Percentuale 24 7" xfId="7377" xr:uid="{00000000-0005-0000-0000-000095190000}"/>
    <cellStyle name="Percentuale 25" xfId="1477" xr:uid="{00000000-0005-0000-0000-000096190000}"/>
    <cellStyle name="Percentuale 25 2" xfId="1478" xr:uid="{00000000-0005-0000-0000-000097190000}"/>
    <cellStyle name="Percentuale 25 2 2" xfId="4785" xr:uid="{00000000-0005-0000-0000-000098190000}"/>
    <cellStyle name="Percentuale 25 2 3" xfId="7378" xr:uid="{00000000-0005-0000-0000-000099190000}"/>
    <cellStyle name="Percentuale 25 2 4" xfId="7379" xr:uid="{00000000-0005-0000-0000-00009A190000}"/>
    <cellStyle name="Percentuale 25 3" xfId="1479" xr:uid="{00000000-0005-0000-0000-00009B190000}"/>
    <cellStyle name="Percentuale 25 3 2" xfId="1480" xr:uid="{00000000-0005-0000-0000-00009C190000}"/>
    <cellStyle name="Percentuale 25 3 2 2" xfId="2899" xr:uid="{00000000-0005-0000-0000-00009D190000}"/>
    <cellStyle name="Percentuale 25 3 2 3" xfId="2898" xr:uid="{00000000-0005-0000-0000-00009E190000}"/>
    <cellStyle name="Percentuale 25 3 3" xfId="3819" xr:uid="{00000000-0005-0000-0000-00009F190000}"/>
    <cellStyle name="Percentuale 25 3 3 2" xfId="4787" xr:uid="{00000000-0005-0000-0000-0000A0190000}"/>
    <cellStyle name="Percentuale 25 3 3 3" xfId="7380" xr:uid="{00000000-0005-0000-0000-0000A1190000}"/>
    <cellStyle name="Percentuale 25 3 3 4" xfId="7381" xr:uid="{00000000-0005-0000-0000-0000A2190000}"/>
    <cellStyle name="Percentuale 25 3 4" xfId="4786" xr:uid="{00000000-0005-0000-0000-0000A3190000}"/>
    <cellStyle name="Percentuale 25 3 5" xfId="7382" xr:uid="{00000000-0005-0000-0000-0000A4190000}"/>
    <cellStyle name="Percentuale 25 3 6" xfId="7383" xr:uid="{00000000-0005-0000-0000-0000A5190000}"/>
    <cellStyle name="Percentuale 25 4" xfId="1481" xr:uid="{00000000-0005-0000-0000-0000A6190000}"/>
    <cellStyle name="Percentuale 25 4 2" xfId="2900" xr:uid="{00000000-0005-0000-0000-0000A7190000}"/>
    <cellStyle name="Percentuale 25 4 2 2" xfId="4789" xr:uid="{00000000-0005-0000-0000-0000A8190000}"/>
    <cellStyle name="Percentuale 25 4 3" xfId="4788" xr:uid="{00000000-0005-0000-0000-0000A9190000}"/>
    <cellStyle name="Percentuale 25 4 4" xfId="7384" xr:uid="{00000000-0005-0000-0000-0000AA190000}"/>
    <cellStyle name="Percentuale 25 4 5" xfId="7385" xr:uid="{00000000-0005-0000-0000-0000AB190000}"/>
    <cellStyle name="Percentuale 25 5" xfId="1482" xr:uid="{00000000-0005-0000-0000-0000AC190000}"/>
    <cellStyle name="Percentuale 25 5 2" xfId="7386" xr:uid="{00000000-0005-0000-0000-0000AD190000}"/>
    <cellStyle name="Percentuale 25 5 3" xfId="7387" xr:uid="{00000000-0005-0000-0000-0000AE190000}"/>
    <cellStyle name="Percentuale 25 6" xfId="1483" xr:uid="{00000000-0005-0000-0000-0000AF190000}"/>
    <cellStyle name="Percentuale 25 7" xfId="7388" xr:uid="{00000000-0005-0000-0000-0000B0190000}"/>
    <cellStyle name="Percentuale 26" xfId="1484" xr:uid="{00000000-0005-0000-0000-0000B1190000}"/>
    <cellStyle name="Percentuale 26 2" xfId="1485" xr:uid="{00000000-0005-0000-0000-0000B2190000}"/>
    <cellStyle name="Percentuale 26 2 2" xfId="4790" xr:uid="{00000000-0005-0000-0000-0000B3190000}"/>
    <cellStyle name="Percentuale 26 2 3" xfId="7389" xr:uid="{00000000-0005-0000-0000-0000B4190000}"/>
    <cellStyle name="Percentuale 26 2 4" xfId="7390" xr:uid="{00000000-0005-0000-0000-0000B5190000}"/>
    <cellStyle name="Percentuale 26 3" xfId="1486" xr:uid="{00000000-0005-0000-0000-0000B6190000}"/>
    <cellStyle name="Percentuale 26 3 2" xfId="1487" xr:uid="{00000000-0005-0000-0000-0000B7190000}"/>
    <cellStyle name="Percentuale 26 3 2 2" xfId="2902" xr:uid="{00000000-0005-0000-0000-0000B8190000}"/>
    <cellStyle name="Percentuale 26 3 2 3" xfId="2901" xr:uid="{00000000-0005-0000-0000-0000B9190000}"/>
    <cellStyle name="Percentuale 26 3 3" xfId="3820" xr:uid="{00000000-0005-0000-0000-0000BA190000}"/>
    <cellStyle name="Percentuale 26 3 3 2" xfId="4792" xr:uid="{00000000-0005-0000-0000-0000BB190000}"/>
    <cellStyle name="Percentuale 26 3 3 3" xfId="7391" xr:uid="{00000000-0005-0000-0000-0000BC190000}"/>
    <cellStyle name="Percentuale 26 3 3 4" xfId="7392" xr:uid="{00000000-0005-0000-0000-0000BD190000}"/>
    <cellStyle name="Percentuale 26 3 4" xfId="4791" xr:uid="{00000000-0005-0000-0000-0000BE190000}"/>
    <cellStyle name="Percentuale 26 3 5" xfId="7393" xr:uid="{00000000-0005-0000-0000-0000BF190000}"/>
    <cellStyle name="Percentuale 26 3 6" xfId="7394" xr:uid="{00000000-0005-0000-0000-0000C0190000}"/>
    <cellStyle name="Percentuale 26 4" xfId="1488" xr:uid="{00000000-0005-0000-0000-0000C1190000}"/>
    <cellStyle name="Percentuale 26 4 2" xfId="2903" xr:uid="{00000000-0005-0000-0000-0000C2190000}"/>
    <cellStyle name="Percentuale 26 4 2 2" xfId="4794" xr:uid="{00000000-0005-0000-0000-0000C3190000}"/>
    <cellStyle name="Percentuale 26 4 3" xfId="4793" xr:uid="{00000000-0005-0000-0000-0000C4190000}"/>
    <cellStyle name="Percentuale 26 4 4" xfId="7395" xr:uid="{00000000-0005-0000-0000-0000C5190000}"/>
    <cellStyle name="Percentuale 26 4 5" xfId="7396" xr:uid="{00000000-0005-0000-0000-0000C6190000}"/>
    <cellStyle name="Percentuale 26 5" xfId="1489" xr:uid="{00000000-0005-0000-0000-0000C7190000}"/>
    <cellStyle name="Percentuale 26 5 2" xfId="7397" xr:uid="{00000000-0005-0000-0000-0000C8190000}"/>
    <cellStyle name="Percentuale 26 5 3" xfId="7398" xr:uid="{00000000-0005-0000-0000-0000C9190000}"/>
    <cellStyle name="Percentuale 26 6" xfId="1490" xr:uid="{00000000-0005-0000-0000-0000CA190000}"/>
    <cellStyle name="Percentuale 26 7" xfId="7399" xr:uid="{00000000-0005-0000-0000-0000CB190000}"/>
    <cellStyle name="Percentuale 27" xfId="1491" xr:uid="{00000000-0005-0000-0000-0000CC190000}"/>
    <cellStyle name="Percentuale 27 2" xfId="1492" xr:uid="{00000000-0005-0000-0000-0000CD190000}"/>
    <cellStyle name="Percentuale 27 2 2" xfId="4795" xr:uid="{00000000-0005-0000-0000-0000CE190000}"/>
    <cellStyle name="Percentuale 27 2 3" xfId="7400" xr:uid="{00000000-0005-0000-0000-0000CF190000}"/>
    <cellStyle name="Percentuale 27 2 4" xfId="7401" xr:uid="{00000000-0005-0000-0000-0000D0190000}"/>
    <cellStyle name="Percentuale 27 3" xfId="1493" xr:uid="{00000000-0005-0000-0000-0000D1190000}"/>
    <cellStyle name="Percentuale 27 3 2" xfId="1494" xr:uid="{00000000-0005-0000-0000-0000D2190000}"/>
    <cellStyle name="Percentuale 27 3 2 2" xfId="2905" xr:uid="{00000000-0005-0000-0000-0000D3190000}"/>
    <cellStyle name="Percentuale 27 3 2 3" xfId="2904" xr:uid="{00000000-0005-0000-0000-0000D4190000}"/>
    <cellStyle name="Percentuale 27 3 3" xfId="3821" xr:uid="{00000000-0005-0000-0000-0000D5190000}"/>
    <cellStyle name="Percentuale 27 3 3 2" xfId="4797" xr:uid="{00000000-0005-0000-0000-0000D6190000}"/>
    <cellStyle name="Percentuale 27 3 3 3" xfId="7402" xr:uid="{00000000-0005-0000-0000-0000D7190000}"/>
    <cellStyle name="Percentuale 27 3 3 4" xfId="7403" xr:uid="{00000000-0005-0000-0000-0000D8190000}"/>
    <cellStyle name="Percentuale 27 3 4" xfId="4796" xr:uid="{00000000-0005-0000-0000-0000D9190000}"/>
    <cellStyle name="Percentuale 27 3 5" xfId="7404" xr:uid="{00000000-0005-0000-0000-0000DA190000}"/>
    <cellStyle name="Percentuale 27 3 6" xfId="7405" xr:uid="{00000000-0005-0000-0000-0000DB190000}"/>
    <cellStyle name="Percentuale 27 4" xfId="1495" xr:uid="{00000000-0005-0000-0000-0000DC190000}"/>
    <cellStyle name="Percentuale 27 4 2" xfId="2906" xr:uid="{00000000-0005-0000-0000-0000DD190000}"/>
    <cellStyle name="Percentuale 27 4 2 2" xfId="4799" xr:uid="{00000000-0005-0000-0000-0000DE190000}"/>
    <cellStyle name="Percentuale 27 4 3" xfId="4798" xr:uid="{00000000-0005-0000-0000-0000DF190000}"/>
    <cellStyle name="Percentuale 27 4 4" xfId="7406" xr:uid="{00000000-0005-0000-0000-0000E0190000}"/>
    <cellStyle name="Percentuale 27 4 5" xfId="7407" xr:uid="{00000000-0005-0000-0000-0000E1190000}"/>
    <cellStyle name="Percentuale 27 5" xfId="1496" xr:uid="{00000000-0005-0000-0000-0000E2190000}"/>
    <cellStyle name="Percentuale 27 5 2" xfId="7408" xr:uid="{00000000-0005-0000-0000-0000E3190000}"/>
    <cellStyle name="Percentuale 27 5 3" xfId="7409" xr:uid="{00000000-0005-0000-0000-0000E4190000}"/>
    <cellStyle name="Percentuale 27 6" xfId="1497" xr:uid="{00000000-0005-0000-0000-0000E5190000}"/>
    <cellStyle name="Percentuale 27 7" xfId="7410" xr:uid="{00000000-0005-0000-0000-0000E6190000}"/>
    <cellStyle name="Percentuale 28" xfId="1498" xr:uid="{00000000-0005-0000-0000-0000E7190000}"/>
    <cellStyle name="Percentuale 28 2" xfId="1499" xr:uid="{00000000-0005-0000-0000-0000E8190000}"/>
    <cellStyle name="Percentuale 28 2 2" xfId="4800" xr:uid="{00000000-0005-0000-0000-0000E9190000}"/>
    <cellStyle name="Percentuale 28 2 3" xfId="7411" xr:uid="{00000000-0005-0000-0000-0000EA190000}"/>
    <cellStyle name="Percentuale 28 2 4" xfId="7412" xr:uid="{00000000-0005-0000-0000-0000EB190000}"/>
    <cellStyle name="Percentuale 28 3" xfId="1500" xr:uid="{00000000-0005-0000-0000-0000EC190000}"/>
    <cellStyle name="Percentuale 28 3 2" xfId="1501" xr:uid="{00000000-0005-0000-0000-0000ED190000}"/>
    <cellStyle name="Percentuale 28 3 2 2" xfId="2908" xr:uid="{00000000-0005-0000-0000-0000EE190000}"/>
    <cellStyle name="Percentuale 28 3 2 3" xfId="2907" xr:uid="{00000000-0005-0000-0000-0000EF190000}"/>
    <cellStyle name="Percentuale 28 3 3" xfId="3822" xr:uid="{00000000-0005-0000-0000-0000F0190000}"/>
    <cellStyle name="Percentuale 28 3 3 2" xfId="4802" xr:uid="{00000000-0005-0000-0000-0000F1190000}"/>
    <cellStyle name="Percentuale 28 3 3 3" xfId="7413" xr:uid="{00000000-0005-0000-0000-0000F2190000}"/>
    <cellStyle name="Percentuale 28 3 3 4" xfId="7414" xr:uid="{00000000-0005-0000-0000-0000F3190000}"/>
    <cellStyle name="Percentuale 28 3 4" xfId="4801" xr:uid="{00000000-0005-0000-0000-0000F4190000}"/>
    <cellStyle name="Percentuale 28 3 5" xfId="7415" xr:uid="{00000000-0005-0000-0000-0000F5190000}"/>
    <cellStyle name="Percentuale 28 3 6" xfId="7416" xr:uid="{00000000-0005-0000-0000-0000F6190000}"/>
    <cellStyle name="Percentuale 28 4" xfId="1502" xr:uid="{00000000-0005-0000-0000-0000F7190000}"/>
    <cellStyle name="Percentuale 28 4 2" xfId="2909" xr:uid="{00000000-0005-0000-0000-0000F8190000}"/>
    <cellStyle name="Percentuale 28 4 2 2" xfId="4804" xr:uid="{00000000-0005-0000-0000-0000F9190000}"/>
    <cellStyle name="Percentuale 28 4 3" xfId="4803" xr:uid="{00000000-0005-0000-0000-0000FA190000}"/>
    <cellStyle name="Percentuale 28 4 4" xfId="7417" xr:uid="{00000000-0005-0000-0000-0000FB190000}"/>
    <cellStyle name="Percentuale 28 4 5" xfId="7418" xr:uid="{00000000-0005-0000-0000-0000FC190000}"/>
    <cellStyle name="Percentuale 28 5" xfId="1503" xr:uid="{00000000-0005-0000-0000-0000FD190000}"/>
    <cellStyle name="Percentuale 28 5 2" xfId="7419" xr:uid="{00000000-0005-0000-0000-0000FE190000}"/>
    <cellStyle name="Percentuale 28 5 3" xfId="7420" xr:uid="{00000000-0005-0000-0000-0000FF190000}"/>
    <cellStyle name="Percentuale 28 6" xfId="1504" xr:uid="{00000000-0005-0000-0000-0000001A0000}"/>
    <cellStyle name="Percentuale 28 7" xfId="7421" xr:uid="{00000000-0005-0000-0000-0000011A0000}"/>
    <cellStyle name="Percentuale 29" xfId="1505" xr:uid="{00000000-0005-0000-0000-0000021A0000}"/>
    <cellStyle name="Percentuale 29 2" xfId="1506" xr:uid="{00000000-0005-0000-0000-0000031A0000}"/>
    <cellStyle name="Percentuale 29 2 2" xfId="4805" xr:uid="{00000000-0005-0000-0000-0000041A0000}"/>
    <cellStyle name="Percentuale 29 2 3" xfId="7422" xr:uid="{00000000-0005-0000-0000-0000051A0000}"/>
    <cellStyle name="Percentuale 29 2 4" xfId="7423" xr:uid="{00000000-0005-0000-0000-0000061A0000}"/>
    <cellStyle name="Percentuale 29 3" xfId="1507" xr:uid="{00000000-0005-0000-0000-0000071A0000}"/>
    <cellStyle name="Percentuale 29 3 2" xfId="1508" xr:uid="{00000000-0005-0000-0000-0000081A0000}"/>
    <cellStyle name="Percentuale 29 3 2 2" xfId="2911" xr:uid="{00000000-0005-0000-0000-0000091A0000}"/>
    <cellStyle name="Percentuale 29 3 2 3" xfId="2910" xr:uid="{00000000-0005-0000-0000-00000A1A0000}"/>
    <cellStyle name="Percentuale 29 3 3" xfId="3823" xr:uid="{00000000-0005-0000-0000-00000B1A0000}"/>
    <cellStyle name="Percentuale 29 3 3 2" xfId="4807" xr:uid="{00000000-0005-0000-0000-00000C1A0000}"/>
    <cellStyle name="Percentuale 29 3 3 3" xfId="7424" xr:uid="{00000000-0005-0000-0000-00000D1A0000}"/>
    <cellStyle name="Percentuale 29 3 3 4" xfId="7425" xr:uid="{00000000-0005-0000-0000-00000E1A0000}"/>
    <cellStyle name="Percentuale 29 3 4" xfId="4806" xr:uid="{00000000-0005-0000-0000-00000F1A0000}"/>
    <cellStyle name="Percentuale 29 3 5" xfId="7426" xr:uid="{00000000-0005-0000-0000-0000101A0000}"/>
    <cellStyle name="Percentuale 29 3 6" xfId="7427" xr:uid="{00000000-0005-0000-0000-0000111A0000}"/>
    <cellStyle name="Percentuale 29 4" xfId="1509" xr:uid="{00000000-0005-0000-0000-0000121A0000}"/>
    <cellStyle name="Percentuale 29 4 2" xfId="2912" xr:uid="{00000000-0005-0000-0000-0000131A0000}"/>
    <cellStyle name="Percentuale 29 4 2 2" xfId="4809" xr:uid="{00000000-0005-0000-0000-0000141A0000}"/>
    <cellStyle name="Percentuale 29 4 3" xfId="4808" xr:uid="{00000000-0005-0000-0000-0000151A0000}"/>
    <cellStyle name="Percentuale 29 4 4" xfId="7428" xr:uid="{00000000-0005-0000-0000-0000161A0000}"/>
    <cellStyle name="Percentuale 29 4 5" xfId="7429" xr:uid="{00000000-0005-0000-0000-0000171A0000}"/>
    <cellStyle name="Percentuale 29 5" xfId="1510" xr:uid="{00000000-0005-0000-0000-0000181A0000}"/>
    <cellStyle name="Percentuale 29 5 2" xfId="7430" xr:uid="{00000000-0005-0000-0000-0000191A0000}"/>
    <cellStyle name="Percentuale 29 5 3" xfId="7431" xr:uid="{00000000-0005-0000-0000-00001A1A0000}"/>
    <cellStyle name="Percentuale 29 6" xfId="1511" xr:uid="{00000000-0005-0000-0000-00001B1A0000}"/>
    <cellStyle name="Percentuale 29 7" xfId="7432" xr:uid="{00000000-0005-0000-0000-00001C1A0000}"/>
    <cellStyle name="Percentuale 3" xfId="1512" xr:uid="{00000000-0005-0000-0000-00001D1A0000}"/>
    <cellStyle name="Percentuale 3 2" xfId="1513" xr:uid="{00000000-0005-0000-0000-00001E1A0000}"/>
    <cellStyle name="Percentuale 3 2 2" xfId="4810" xr:uid="{00000000-0005-0000-0000-00001F1A0000}"/>
    <cellStyle name="Percentuale 3 2 3" xfId="7433" xr:uid="{00000000-0005-0000-0000-0000201A0000}"/>
    <cellStyle name="Percentuale 3 2 4" xfId="7434" xr:uid="{00000000-0005-0000-0000-0000211A0000}"/>
    <cellStyle name="Percentuale 3 3" xfId="1514" xr:uid="{00000000-0005-0000-0000-0000221A0000}"/>
    <cellStyle name="Percentuale 3 3 2" xfId="1515" xr:uid="{00000000-0005-0000-0000-0000231A0000}"/>
    <cellStyle name="Percentuale 3 3 2 2" xfId="2914" xr:uid="{00000000-0005-0000-0000-0000241A0000}"/>
    <cellStyle name="Percentuale 3 3 2 3" xfId="2913" xr:uid="{00000000-0005-0000-0000-0000251A0000}"/>
    <cellStyle name="Percentuale 3 3 3" xfId="3824" xr:uid="{00000000-0005-0000-0000-0000261A0000}"/>
    <cellStyle name="Percentuale 3 3 3 2" xfId="4812" xr:uid="{00000000-0005-0000-0000-0000271A0000}"/>
    <cellStyle name="Percentuale 3 3 3 3" xfId="7435" xr:uid="{00000000-0005-0000-0000-0000281A0000}"/>
    <cellStyle name="Percentuale 3 3 3 4" xfId="7436" xr:uid="{00000000-0005-0000-0000-0000291A0000}"/>
    <cellStyle name="Percentuale 3 3 4" xfId="4811" xr:uid="{00000000-0005-0000-0000-00002A1A0000}"/>
    <cellStyle name="Percentuale 3 3 5" xfId="7437" xr:uid="{00000000-0005-0000-0000-00002B1A0000}"/>
    <cellStyle name="Percentuale 3 3 6" xfId="7438" xr:uid="{00000000-0005-0000-0000-00002C1A0000}"/>
    <cellStyle name="Percentuale 3 4" xfId="1516" xr:uid="{00000000-0005-0000-0000-00002D1A0000}"/>
    <cellStyle name="Percentuale 3 4 2" xfId="2915" xr:uid="{00000000-0005-0000-0000-00002E1A0000}"/>
    <cellStyle name="Percentuale 3 4 2 2" xfId="4814" xr:uid="{00000000-0005-0000-0000-00002F1A0000}"/>
    <cellStyle name="Percentuale 3 4 3" xfId="4813" xr:uid="{00000000-0005-0000-0000-0000301A0000}"/>
    <cellStyle name="Percentuale 3 4 4" xfId="7439" xr:uid="{00000000-0005-0000-0000-0000311A0000}"/>
    <cellStyle name="Percentuale 3 4 5" xfId="7440" xr:uid="{00000000-0005-0000-0000-0000321A0000}"/>
    <cellStyle name="Percentuale 3 5" xfId="1517" xr:uid="{00000000-0005-0000-0000-0000331A0000}"/>
    <cellStyle name="Percentuale 3 5 2" xfId="7441" xr:uid="{00000000-0005-0000-0000-0000341A0000}"/>
    <cellStyle name="Percentuale 3 5 3" xfId="7442" xr:uid="{00000000-0005-0000-0000-0000351A0000}"/>
    <cellStyle name="Percentuale 3 6" xfId="1518" xr:uid="{00000000-0005-0000-0000-0000361A0000}"/>
    <cellStyle name="Percentuale 3 7" xfId="7443" xr:uid="{00000000-0005-0000-0000-0000371A0000}"/>
    <cellStyle name="Percentuale 30" xfId="1519" xr:uid="{00000000-0005-0000-0000-0000381A0000}"/>
    <cellStyle name="Percentuale 30 2" xfId="1520" xr:uid="{00000000-0005-0000-0000-0000391A0000}"/>
    <cellStyle name="Percentuale 30 2 2" xfId="4815" xr:uid="{00000000-0005-0000-0000-00003A1A0000}"/>
    <cellStyle name="Percentuale 30 2 3" xfId="7444" xr:uid="{00000000-0005-0000-0000-00003B1A0000}"/>
    <cellStyle name="Percentuale 30 2 4" xfId="7445" xr:uid="{00000000-0005-0000-0000-00003C1A0000}"/>
    <cellStyle name="Percentuale 30 3" xfId="1521" xr:uid="{00000000-0005-0000-0000-00003D1A0000}"/>
    <cellStyle name="Percentuale 30 3 2" xfId="1522" xr:uid="{00000000-0005-0000-0000-00003E1A0000}"/>
    <cellStyle name="Percentuale 30 3 2 2" xfId="2917" xr:uid="{00000000-0005-0000-0000-00003F1A0000}"/>
    <cellStyle name="Percentuale 30 3 2 3" xfId="2916" xr:uid="{00000000-0005-0000-0000-0000401A0000}"/>
    <cellStyle name="Percentuale 30 3 3" xfId="3825" xr:uid="{00000000-0005-0000-0000-0000411A0000}"/>
    <cellStyle name="Percentuale 30 3 3 2" xfId="4817" xr:uid="{00000000-0005-0000-0000-0000421A0000}"/>
    <cellStyle name="Percentuale 30 3 3 3" xfId="7446" xr:uid="{00000000-0005-0000-0000-0000431A0000}"/>
    <cellStyle name="Percentuale 30 3 3 4" xfId="7447" xr:uid="{00000000-0005-0000-0000-0000441A0000}"/>
    <cellStyle name="Percentuale 30 3 4" xfId="4816" xr:uid="{00000000-0005-0000-0000-0000451A0000}"/>
    <cellStyle name="Percentuale 30 3 5" xfId="7448" xr:uid="{00000000-0005-0000-0000-0000461A0000}"/>
    <cellStyle name="Percentuale 30 3 6" xfId="7449" xr:uid="{00000000-0005-0000-0000-0000471A0000}"/>
    <cellStyle name="Percentuale 30 4" xfId="1523" xr:uid="{00000000-0005-0000-0000-0000481A0000}"/>
    <cellStyle name="Percentuale 30 4 2" xfId="2918" xr:uid="{00000000-0005-0000-0000-0000491A0000}"/>
    <cellStyle name="Percentuale 30 4 2 2" xfId="4819" xr:uid="{00000000-0005-0000-0000-00004A1A0000}"/>
    <cellStyle name="Percentuale 30 4 3" xfId="4818" xr:uid="{00000000-0005-0000-0000-00004B1A0000}"/>
    <cellStyle name="Percentuale 30 4 4" xfId="7450" xr:uid="{00000000-0005-0000-0000-00004C1A0000}"/>
    <cellStyle name="Percentuale 30 4 5" xfId="7451" xr:uid="{00000000-0005-0000-0000-00004D1A0000}"/>
    <cellStyle name="Percentuale 30 5" xfId="1524" xr:uid="{00000000-0005-0000-0000-00004E1A0000}"/>
    <cellStyle name="Percentuale 30 5 2" xfId="7452" xr:uid="{00000000-0005-0000-0000-00004F1A0000}"/>
    <cellStyle name="Percentuale 30 5 3" xfId="7453" xr:uid="{00000000-0005-0000-0000-0000501A0000}"/>
    <cellStyle name="Percentuale 30 6" xfId="1525" xr:uid="{00000000-0005-0000-0000-0000511A0000}"/>
    <cellStyle name="Percentuale 30 7" xfId="7454" xr:uid="{00000000-0005-0000-0000-0000521A0000}"/>
    <cellStyle name="Percentuale 31" xfId="1526" xr:uid="{00000000-0005-0000-0000-0000531A0000}"/>
    <cellStyle name="Percentuale 31 2" xfId="1527" xr:uid="{00000000-0005-0000-0000-0000541A0000}"/>
    <cellStyle name="Percentuale 31 2 2" xfId="4820" xr:uid="{00000000-0005-0000-0000-0000551A0000}"/>
    <cellStyle name="Percentuale 31 2 3" xfId="7455" xr:uid="{00000000-0005-0000-0000-0000561A0000}"/>
    <cellStyle name="Percentuale 31 2 4" xfId="7456" xr:uid="{00000000-0005-0000-0000-0000571A0000}"/>
    <cellStyle name="Percentuale 31 3" xfId="1528" xr:uid="{00000000-0005-0000-0000-0000581A0000}"/>
    <cellStyle name="Percentuale 31 3 2" xfId="1529" xr:uid="{00000000-0005-0000-0000-0000591A0000}"/>
    <cellStyle name="Percentuale 31 3 2 2" xfId="2920" xr:uid="{00000000-0005-0000-0000-00005A1A0000}"/>
    <cellStyle name="Percentuale 31 3 2 3" xfId="2919" xr:uid="{00000000-0005-0000-0000-00005B1A0000}"/>
    <cellStyle name="Percentuale 31 3 3" xfId="3826" xr:uid="{00000000-0005-0000-0000-00005C1A0000}"/>
    <cellStyle name="Percentuale 31 3 3 2" xfId="4822" xr:uid="{00000000-0005-0000-0000-00005D1A0000}"/>
    <cellStyle name="Percentuale 31 3 3 3" xfId="7457" xr:uid="{00000000-0005-0000-0000-00005E1A0000}"/>
    <cellStyle name="Percentuale 31 3 3 4" xfId="7458" xr:uid="{00000000-0005-0000-0000-00005F1A0000}"/>
    <cellStyle name="Percentuale 31 3 4" xfId="4821" xr:uid="{00000000-0005-0000-0000-0000601A0000}"/>
    <cellStyle name="Percentuale 31 3 5" xfId="7459" xr:uid="{00000000-0005-0000-0000-0000611A0000}"/>
    <cellStyle name="Percentuale 31 3 6" xfId="7460" xr:uid="{00000000-0005-0000-0000-0000621A0000}"/>
    <cellStyle name="Percentuale 31 4" xfId="1530" xr:uid="{00000000-0005-0000-0000-0000631A0000}"/>
    <cellStyle name="Percentuale 31 4 2" xfId="2921" xr:uid="{00000000-0005-0000-0000-0000641A0000}"/>
    <cellStyle name="Percentuale 31 4 2 2" xfId="4824" xr:uid="{00000000-0005-0000-0000-0000651A0000}"/>
    <cellStyle name="Percentuale 31 4 3" xfId="4823" xr:uid="{00000000-0005-0000-0000-0000661A0000}"/>
    <cellStyle name="Percentuale 31 4 4" xfId="7461" xr:uid="{00000000-0005-0000-0000-0000671A0000}"/>
    <cellStyle name="Percentuale 31 4 5" xfId="7462" xr:uid="{00000000-0005-0000-0000-0000681A0000}"/>
    <cellStyle name="Percentuale 31 5" xfId="1531" xr:uid="{00000000-0005-0000-0000-0000691A0000}"/>
    <cellStyle name="Percentuale 31 5 2" xfId="7463" xr:uid="{00000000-0005-0000-0000-00006A1A0000}"/>
    <cellStyle name="Percentuale 31 5 3" xfId="7464" xr:uid="{00000000-0005-0000-0000-00006B1A0000}"/>
    <cellStyle name="Percentuale 31 6" xfId="1532" xr:uid="{00000000-0005-0000-0000-00006C1A0000}"/>
    <cellStyle name="Percentuale 31 7" xfId="7465" xr:uid="{00000000-0005-0000-0000-00006D1A0000}"/>
    <cellStyle name="Percentuale 32" xfId="1533" xr:uid="{00000000-0005-0000-0000-00006E1A0000}"/>
    <cellStyle name="Percentuale 32 2" xfId="1534" xr:uid="{00000000-0005-0000-0000-00006F1A0000}"/>
    <cellStyle name="Percentuale 32 2 2" xfId="4825" xr:uid="{00000000-0005-0000-0000-0000701A0000}"/>
    <cellStyle name="Percentuale 32 2 3" xfId="7466" xr:uid="{00000000-0005-0000-0000-0000711A0000}"/>
    <cellStyle name="Percentuale 32 2 4" xfId="7467" xr:uid="{00000000-0005-0000-0000-0000721A0000}"/>
    <cellStyle name="Percentuale 32 3" xfId="1535" xr:uid="{00000000-0005-0000-0000-0000731A0000}"/>
    <cellStyle name="Percentuale 32 3 2" xfId="1536" xr:uid="{00000000-0005-0000-0000-0000741A0000}"/>
    <cellStyle name="Percentuale 32 3 2 2" xfId="2923" xr:uid="{00000000-0005-0000-0000-0000751A0000}"/>
    <cellStyle name="Percentuale 32 3 2 3" xfId="2922" xr:uid="{00000000-0005-0000-0000-0000761A0000}"/>
    <cellStyle name="Percentuale 32 3 3" xfId="3827" xr:uid="{00000000-0005-0000-0000-0000771A0000}"/>
    <cellStyle name="Percentuale 32 3 3 2" xfId="4827" xr:uid="{00000000-0005-0000-0000-0000781A0000}"/>
    <cellStyle name="Percentuale 32 3 3 3" xfId="7468" xr:uid="{00000000-0005-0000-0000-0000791A0000}"/>
    <cellStyle name="Percentuale 32 3 3 4" xfId="7469" xr:uid="{00000000-0005-0000-0000-00007A1A0000}"/>
    <cellStyle name="Percentuale 32 3 4" xfId="4826" xr:uid="{00000000-0005-0000-0000-00007B1A0000}"/>
    <cellStyle name="Percentuale 32 3 5" xfId="7470" xr:uid="{00000000-0005-0000-0000-00007C1A0000}"/>
    <cellStyle name="Percentuale 32 3 6" xfId="7471" xr:uid="{00000000-0005-0000-0000-00007D1A0000}"/>
    <cellStyle name="Percentuale 32 4" xfId="1537" xr:uid="{00000000-0005-0000-0000-00007E1A0000}"/>
    <cellStyle name="Percentuale 32 4 2" xfId="2924" xr:uid="{00000000-0005-0000-0000-00007F1A0000}"/>
    <cellStyle name="Percentuale 32 4 2 2" xfId="4829" xr:uid="{00000000-0005-0000-0000-0000801A0000}"/>
    <cellStyle name="Percentuale 32 4 3" xfId="4828" xr:uid="{00000000-0005-0000-0000-0000811A0000}"/>
    <cellStyle name="Percentuale 32 4 4" xfId="7472" xr:uid="{00000000-0005-0000-0000-0000821A0000}"/>
    <cellStyle name="Percentuale 32 4 5" xfId="7473" xr:uid="{00000000-0005-0000-0000-0000831A0000}"/>
    <cellStyle name="Percentuale 32 5" xfId="1538" xr:uid="{00000000-0005-0000-0000-0000841A0000}"/>
    <cellStyle name="Percentuale 32 5 2" xfId="7474" xr:uid="{00000000-0005-0000-0000-0000851A0000}"/>
    <cellStyle name="Percentuale 32 5 3" xfId="7475" xr:uid="{00000000-0005-0000-0000-0000861A0000}"/>
    <cellStyle name="Percentuale 32 6" xfId="1539" xr:uid="{00000000-0005-0000-0000-0000871A0000}"/>
    <cellStyle name="Percentuale 32 7" xfId="7476" xr:uid="{00000000-0005-0000-0000-0000881A0000}"/>
    <cellStyle name="Percentuale 33" xfId="1540" xr:uid="{00000000-0005-0000-0000-0000891A0000}"/>
    <cellStyle name="Percentuale 33 2" xfId="1541" xr:uid="{00000000-0005-0000-0000-00008A1A0000}"/>
    <cellStyle name="Percentuale 33 2 2" xfId="4830" xr:uid="{00000000-0005-0000-0000-00008B1A0000}"/>
    <cellStyle name="Percentuale 33 2 3" xfId="7477" xr:uid="{00000000-0005-0000-0000-00008C1A0000}"/>
    <cellStyle name="Percentuale 33 2 4" xfId="7478" xr:uid="{00000000-0005-0000-0000-00008D1A0000}"/>
    <cellStyle name="Percentuale 33 3" xfId="1542" xr:uid="{00000000-0005-0000-0000-00008E1A0000}"/>
    <cellStyle name="Percentuale 33 3 2" xfId="1543" xr:uid="{00000000-0005-0000-0000-00008F1A0000}"/>
    <cellStyle name="Percentuale 33 3 2 2" xfId="2926" xr:uid="{00000000-0005-0000-0000-0000901A0000}"/>
    <cellStyle name="Percentuale 33 3 2 3" xfId="2925" xr:uid="{00000000-0005-0000-0000-0000911A0000}"/>
    <cellStyle name="Percentuale 33 3 3" xfId="3828" xr:uid="{00000000-0005-0000-0000-0000921A0000}"/>
    <cellStyle name="Percentuale 33 3 3 2" xfId="4832" xr:uid="{00000000-0005-0000-0000-0000931A0000}"/>
    <cellStyle name="Percentuale 33 3 3 3" xfId="7479" xr:uid="{00000000-0005-0000-0000-0000941A0000}"/>
    <cellStyle name="Percentuale 33 3 3 4" xfId="7480" xr:uid="{00000000-0005-0000-0000-0000951A0000}"/>
    <cellStyle name="Percentuale 33 3 4" xfId="4831" xr:uid="{00000000-0005-0000-0000-0000961A0000}"/>
    <cellStyle name="Percentuale 33 3 5" xfId="7481" xr:uid="{00000000-0005-0000-0000-0000971A0000}"/>
    <cellStyle name="Percentuale 33 3 6" xfId="7482" xr:uid="{00000000-0005-0000-0000-0000981A0000}"/>
    <cellStyle name="Percentuale 33 4" xfId="1544" xr:uid="{00000000-0005-0000-0000-0000991A0000}"/>
    <cellStyle name="Percentuale 33 4 2" xfId="2927" xr:uid="{00000000-0005-0000-0000-00009A1A0000}"/>
    <cellStyle name="Percentuale 33 4 2 2" xfId="4834" xr:uid="{00000000-0005-0000-0000-00009B1A0000}"/>
    <cellStyle name="Percentuale 33 4 3" xfId="4833" xr:uid="{00000000-0005-0000-0000-00009C1A0000}"/>
    <cellStyle name="Percentuale 33 4 4" xfId="7483" xr:uid="{00000000-0005-0000-0000-00009D1A0000}"/>
    <cellStyle name="Percentuale 33 4 5" xfId="7484" xr:uid="{00000000-0005-0000-0000-00009E1A0000}"/>
    <cellStyle name="Percentuale 33 5" xfId="1545" xr:uid="{00000000-0005-0000-0000-00009F1A0000}"/>
    <cellStyle name="Percentuale 33 5 2" xfId="7485" xr:uid="{00000000-0005-0000-0000-0000A01A0000}"/>
    <cellStyle name="Percentuale 33 5 3" xfId="7486" xr:uid="{00000000-0005-0000-0000-0000A11A0000}"/>
    <cellStyle name="Percentuale 33 6" xfId="1546" xr:uid="{00000000-0005-0000-0000-0000A21A0000}"/>
    <cellStyle name="Percentuale 33 7" xfId="7487" xr:uid="{00000000-0005-0000-0000-0000A31A0000}"/>
    <cellStyle name="Percentuale 34" xfId="1547" xr:uid="{00000000-0005-0000-0000-0000A41A0000}"/>
    <cellStyle name="Percentuale 34 2" xfId="1548" xr:uid="{00000000-0005-0000-0000-0000A51A0000}"/>
    <cellStyle name="Percentuale 34 2 2" xfId="4835" xr:uid="{00000000-0005-0000-0000-0000A61A0000}"/>
    <cellStyle name="Percentuale 34 2 3" xfId="7488" xr:uid="{00000000-0005-0000-0000-0000A71A0000}"/>
    <cellStyle name="Percentuale 34 2 4" xfId="7489" xr:uid="{00000000-0005-0000-0000-0000A81A0000}"/>
    <cellStyle name="Percentuale 34 3" xfId="1549" xr:uid="{00000000-0005-0000-0000-0000A91A0000}"/>
    <cellStyle name="Percentuale 34 3 2" xfId="1550" xr:uid="{00000000-0005-0000-0000-0000AA1A0000}"/>
    <cellStyle name="Percentuale 34 3 2 2" xfId="2929" xr:uid="{00000000-0005-0000-0000-0000AB1A0000}"/>
    <cellStyle name="Percentuale 34 3 2 3" xfId="2928" xr:uid="{00000000-0005-0000-0000-0000AC1A0000}"/>
    <cellStyle name="Percentuale 34 3 3" xfId="3829" xr:uid="{00000000-0005-0000-0000-0000AD1A0000}"/>
    <cellStyle name="Percentuale 34 3 3 2" xfId="4837" xr:uid="{00000000-0005-0000-0000-0000AE1A0000}"/>
    <cellStyle name="Percentuale 34 3 3 3" xfId="7490" xr:uid="{00000000-0005-0000-0000-0000AF1A0000}"/>
    <cellStyle name="Percentuale 34 3 3 4" xfId="7491" xr:uid="{00000000-0005-0000-0000-0000B01A0000}"/>
    <cellStyle name="Percentuale 34 3 4" xfId="4836" xr:uid="{00000000-0005-0000-0000-0000B11A0000}"/>
    <cellStyle name="Percentuale 34 3 5" xfId="7492" xr:uid="{00000000-0005-0000-0000-0000B21A0000}"/>
    <cellStyle name="Percentuale 34 3 6" xfId="7493" xr:uid="{00000000-0005-0000-0000-0000B31A0000}"/>
    <cellStyle name="Percentuale 34 4" xfId="1551" xr:uid="{00000000-0005-0000-0000-0000B41A0000}"/>
    <cellStyle name="Percentuale 34 4 2" xfId="2930" xr:uid="{00000000-0005-0000-0000-0000B51A0000}"/>
    <cellStyle name="Percentuale 34 4 2 2" xfId="4839" xr:uid="{00000000-0005-0000-0000-0000B61A0000}"/>
    <cellStyle name="Percentuale 34 4 3" xfId="4838" xr:uid="{00000000-0005-0000-0000-0000B71A0000}"/>
    <cellStyle name="Percentuale 34 4 4" xfId="7494" xr:uid="{00000000-0005-0000-0000-0000B81A0000}"/>
    <cellStyle name="Percentuale 34 4 5" xfId="7495" xr:uid="{00000000-0005-0000-0000-0000B91A0000}"/>
    <cellStyle name="Percentuale 34 5" xfId="1552" xr:uid="{00000000-0005-0000-0000-0000BA1A0000}"/>
    <cellStyle name="Percentuale 34 5 2" xfId="7496" xr:uid="{00000000-0005-0000-0000-0000BB1A0000}"/>
    <cellStyle name="Percentuale 34 5 3" xfId="7497" xr:uid="{00000000-0005-0000-0000-0000BC1A0000}"/>
    <cellStyle name="Percentuale 34 6" xfId="1553" xr:uid="{00000000-0005-0000-0000-0000BD1A0000}"/>
    <cellStyle name="Percentuale 34 7" xfId="7498" xr:uid="{00000000-0005-0000-0000-0000BE1A0000}"/>
    <cellStyle name="Percentuale 35" xfId="1554" xr:uid="{00000000-0005-0000-0000-0000BF1A0000}"/>
    <cellStyle name="Percentuale 35 2" xfId="1555" xr:uid="{00000000-0005-0000-0000-0000C01A0000}"/>
    <cellStyle name="Percentuale 35 2 2" xfId="4840" xr:uid="{00000000-0005-0000-0000-0000C11A0000}"/>
    <cellStyle name="Percentuale 35 2 3" xfId="7499" xr:uid="{00000000-0005-0000-0000-0000C21A0000}"/>
    <cellStyle name="Percentuale 35 2 4" xfId="7500" xr:uid="{00000000-0005-0000-0000-0000C31A0000}"/>
    <cellStyle name="Percentuale 35 3" xfId="1556" xr:uid="{00000000-0005-0000-0000-0000C41A0000}"/>
    <cellStyle name="Percentuale 35 3 2" xfId="1557" xr:uid="{00000000-0005-0000-0000-0000C51A0000}"/>
    <cellStyle name="Percentuale 35 3 2 2" xfId="2932" xr:uid="{00000000-0005-0000-0000-0000C61A0000}"/>
    <cellStyle name="Percentuale 35 3 2 3" xfId="2931" xr:uid="{00000000-0005-0000-0000-0000C71A0000}"/>
    <cellStyle name="Percentuale 35 3 3" xfId="3830" xr:uid="{00000000-0005-0000-0000-0000C81A0000}"/>
    <cellStyle name="Percentuale 35 3 3 2" xfId="4842" xr:uid="{00000000-0005-0000-0000-0000C91A0000}"/>
    <cellStyle name="Percentuale 35 3 3 3" xfId="7501" xr:uid="{00000000-0005-0000-0000-0000CA1A0000}"/>
    <cellStyle name="Percentuale 35 3 3 4" xfId="7502" xr:uid="{00000000-0005-0000-0000-0000CB1A0000}"/>
    <cellStyle name="Percentuale 35 3 4" xfId="4841" xr:uid="{00000000-0005-0000-0000-0000CC1A0000}"/>
    <cellStyle name="Percentuale 35 3 5" xfId="7503" xr:uid="{00000000-0005-0000-0000-0000CD1A0000}"/>
    <cellStyle name="Percentuale 35 3 6" xfId="7504" xr:uid="{00000000-0005-0000-0000-0000CE1A0000}"/>
    <cellStyle name="Percentuale 35 4" xfId="1558" xr:uid="{00000000-0005-0000-0000-0000CF1A0000}"/>
    <cellStyle name="Percentuale 35 4 2" xfId="2933" xr:uid="{00000000-0005-0000-0000-0000D01A0000}"/>
    <cellStyle name="Percentuale 35 4 2 2" xfId="4844" xr:uid="{00000000-0005-0000-0000-0000D11A0000}"/>
    <cellStyle name="Percentuale 35 4 3" xfId="4843" xr:uid="{00000000-0005-0000-0000-0000D21A0000}"/>
    <cellStyle name="Percentuale 35 4 4" xfId="7505" xr:uid="{00000000-0005-0000-0000-0000D31A0000}"/>
    <cellStyle name="Percentuale 35 4 5" xfId="7506" xr:uid="{00000000-0005-0000-0000-0000D41A0000}"/>
    <cellStyle name="Percentuale 35 5" xfId="1559" xr:uid="{00000000-0005-0000-0000-0000D51A0000}"/>
    <cellStyle name="Percentuale 35 5 2" xfId="7507" xr:uid="{00000000-0005-0000-0000-0000D61A0000}"/>
    <cellStyle name="Percentuale 35 5 3" xfId="7508" xr:uid="{00000000-0005-0000-0000-0000D71A0000}"/>
    <cellStyle name="Percentuale 35 6" xfId="1560" xr:uid="{00000000-0005-0000-0000-0000D81A0000}"/>
    <cellStyle name="Percentuale 35 7" xfId="7509" xr:uid="{00000000-0005-0000-0000-0000D91A0000}"/>
    <cellStyle name="Percentuale 36" xfId="1561" xr:uid="{00000000-0005-0000-0000-0000DA1A0000}"/>
    <cellStyle name="Percentuale 36 2" xfId="1562" xr:uid="{00000000-0005-0000-0000-0000DB1A0000}"/>
    <cellStyle name="Percentuale 36 2 2" xfId="4845" xr:uid="{00000000-0005-0000-0000-0000DC1A0000}"/>
    <cellStyle name="Percentuale 36 2 3" xfId="7510" xr:uid="{00000000-0005-0000-0000-0000DD1A0000}"/>
    <cellStyle name="Percentuale 36 2 4" xfId="7511" xr:uid="{00000000-0005-0000-0000-0000DE1A0000}"/>
    <cellStyle name="Percentuale 36 3" xfId="1563" xr:uid="{00000000-0005-0000-0000-0000DF1A0000}"/>
    <cellStyle name="Percentuale 36 3 2" xfId="1564" xr:uid="{00000000-0005-0000-0000-0000E01A0000}"/>
    <cellStyle name="Percentuale 36 3 2 2" xfId="2935" xr:uid="{00000000-0005-0000-0000-0000E11A0000}"/>
    <cellStyle name="Percentuale 36 3 2 3" xfId="2934" xr:uid="{00000000-0005-0000-0000-0000E21A0000}"/>
    <cellStyle name="Percentuale 36 3 3" xfId="3831" xr:uid="{00000000-0005-0000-0000-0000E31A0000}"/>
    <cellStyle name="Percentuale 36 3 3 2" xfId="4847" xr:uid="{00000000-0005-0000-0000-0000E41A0000}"/>
    <cellStyle name="Percentuale 36 3 3 3" xfId="7512" xr:uid="{00000000-0005-0000-0000-0000E51A0000}"/>
    <cellStyle name="Percentuale 36 3 3 4" xfId="7513" xr:uid="{00000000-0005-0000-0000-0000E61A0000}"/>
    <cellStyle name="Percentuale 36 3 4" xfId="4846" xr:uid="{00000000-0005-0000-0000-0000E71A0000}"/>
    <cellStyle name="Percentuale 36 3 5" xfId="7514" xr:uid="{00000000-0005-0000-0000-0000E81A0000}"/>
    <cellStyle name="Percentuale 36 3 6" xfId="7515" xr:uid="{00000000-0005-0000-0000-0000E91A0000}"/>
    <cellStyle name="Percentuale 36 4" xfId="1565" xr:uid="{00000000-0005-0000-0000-0000EA1A0000}"/>
    <cellStyle name="Percentuale 36 4 2" xfId="2936" xr:uid="{00000000-0005-0000-0000-0000EB1A0000}"/>
    <cellStyle name="Percentuale 36 4 2 2" xfId="4849" xr:uid="{00000000-0005-0000-0000-0000EC1A0000}"/>
    <cellStyle name="Percentuale 36 4 3" xfId="4848" xr:uid="{00000000-0005-0000-0000-0000ED1A0000}"/>
    <cellStyle name="Percentuale 36 4 4" xfId="7516" xr:uid="{00000000-0005-0000-0000-0000EE1A0000}"/>
    <cellStyle name="Percentuale 36 4 5" xfId="7517" xr:uid="{00000000-0005-0000-0000-0000EF1A0000}"/>
    <cellStyle name="Percentuale 36 5" xfId="1566" xr:uid="{00000000-0005-0000-0000-0000F01A0000}"/>
    <cellStyle name="Percentuale 36 5 2" xfId="7518" xr:uid="{00000000-0005-0000-0000-0000F11A0000}"/>
    <cellStyle name="Percentuale 36 5 3" xfId="7519" xr:uid="{00000000-0005-0000-0000-0000F21A0000}"/>
    <cellStyle name="Percentuale 36 6" xfId="1567" xr:uid="{00000000-0005-0000-0000-0000F31A0000}"/>
    <cellStyle name="Percentuale 36 7" xfId="7520" xr:uid="{00000000-0005-0000-0000-0000F41A0000}"/>
    <cellStyle name="Percentuale 37" xfId="1568" xr:uid="{00000000-0005-0000-0000-0000F51A0000}"/>
    <cellStyle name="Percentuale 37 2" xfId="1569" xr:uid="{00000000-0005-0000-0000-0000F61A0000}"/>
    <cellStyle name="Percentuale 37 2 2" xfId="4850" xr:uid="{00000000-0005-0000-0000-0000F71A0000}"/>
    <cellStyle name="Percentuale 37 2 3" xfId="7521" xr:uid="{00000000-0005-0000-0000-0000F81A0000}"/>
    <cellStyle name="Percentuale 37 2 4" xfId="7522" xr:uid="{00000000-0005-0000-0000-0000F91A0000}"/>
    <cellStyle name="Percentuale 37 3" xfId="1570" xr:uid="{00000000-0005-0000-0000-0000FA1A0000}"/>
    <cellStyle name="Percentuale 37 3 2" xfId="1571" xr:uid="{00000000-0005-0000-0000-0000FB1A0000}"/>
    <cellStyle name="Percentuale 37 3 2 2" xfId="2938" xr:uid="{00000000-0005-0000-0000-0000FC1A0000}"/>
    <cellStyle name="Percentuale 37 3 2 3" xfId="2937" xr:uid="{00000000-0005-0000-0000-0000FD1A0000}"/>
    <cellStyle name="Percentuale 37 3 3" xfId="3832" xr:uid="{00000000-0005-0000-0000-0000FE1A0000}"/>
    <cellStyle name="Percentuale 37 3 3 2" xfId="4852" xr:uid="{00000000-0005-0000-0000-0000FF1A0000}"/>
    <cellStyle name="Percentuale 37 3 3 3" xfId="7523" xr:uid="{00000000-0005-0000-0000-0000001B0000}"/>
    <cellStyle name="Percentuale 37 3 3 4" xfId="7524" xr:uid="{00000000-0005-0000-0000-0000011B0000}"/>
    <cellStyle name="Percentuale 37 3 4" xfId="4851" xr:uid="{00000000-0005-0000-0000-0000021B0000}"/>
    <cellStyle name="Percentuale 37 3 5" xfId="7525" xr:uid="{00000000-0005-0000-0000-0000031B0000}"/>
    <cellStyle name="Percentuale 37 3 6" xfId="7526" xr:uid="{00000000-0005-0000-0000-0000041B0000}"/>
    <cellStyle name="Percentuale 37 4" xfId="1572" xr:uid="{00000000-0005-0000-0000-0000051B0000}"/>
    <cellStyle name="Percentuale 37 4 2" xfId="2939" xr:uid="{00000000-0005-0000-0000-0000061B0000}"/>
    <cellStyle name="Percentuale 37 4 2 2" xfId="4854" xr:uid="{00000000-0005-0000-0000-0000071B0000}"/>
    <cellStyle name="Percentuale 37 4 3" xfId="4853" xr:uid="{00000000-0005-0000-0000-0000081B0000}"/>
    <cellStyle name="Percentuale 37 4 4" xfId="7527" xr:uid="{00000000-0005-0000-0000-0000091B0000}"/>
    <cellStyle name="Percentuale 37 4 5" xfId="7528" xr:uid="{00000000-0005-0000-0000-00000A1B0000}"/>
    <cellStyle name="Percentuale 37 5" xfId="1573" xr:uid="{00000000-0005-0000-0000-00000B1B0000}"/>
    <cellStyle name="Percentuale 37 5 2" xfId="7529" xr:uid="{00000000-0005-0000-0000-00000C1B0000}"/>
    <cellStyle name="Percentuale 37 5 3" xfId="7530" xr:uid="{00000000-0005-0000-0000-00000D1B0000}"/>
    <cellStyle name="Percentuale 37 6" xfId="1574" xr:uid="{00000000-0005-0000-0000-00000E1B0000}"/>
    <cellStyle name="Percentuale 37 7" xfId="7531" xr:uid="{00000000-0005-0000-0000-00000F1B0000}"/>
    <cellStyle name="Percentuale 38" xfId="1575" xr:uid="{00000000-0005-0000-0000-0000101B0000}"/>
    <cellStyle name="Percentuale 38 2" xfId="1576" xr:uid="{00000000-0005-0000-0000-0000111B0000}"/>
    <cellStyle name="Percentuale 38 2 2" xfId="4855" xr:uid="{00000000-0005-0000-0000-0000121B0000}"/>
    <cellStyle name="Percentuale 38 2 3" xfId="7532" xr:uid="{00000000-0005-0000-0000-0000131B0000}"/>
    <cellStyle name="Percentuale 38 2 4" xfId="7533" xr:uid="{00000000-0005-0000-0000-0000141B0000}"/>
    <cellStyle name="Percentuale 38 3" xfId="1577" xr:uid="{00000000-0005-0000-0000-0000151B0000}"/>
    <cellStyle name="Percentuale 38 3 2" xfId="1578" xr:uid="{00000000-0005-0000-0000-0000161B0000}"/>
    <cellStyle name="Percentuale 38 3 2 2" xfId="2941" xr:uid="{00000000-0005-0000-0000-0000171B0000}"/>
    <cellStyle name="Percentuale 38 3 2 3" xfId="2940" xr:uid="{00000000-0005-0000-0000-0000181B0000}"/>
    <cellStyle name="Percentuale 38 3 3" xfId="3833" xr:uid="{00000000-0005-0000-0000-0000191B0000}"/>
    <cellStyle name="Percentuale 38 3 3 2" xfId="4857" xr:uid="{00000000-0005-0000-0000-00001A1B0000}"/>
    <cellStyle name="Percentuale 38 3 3 3" xfId="7534" xr:uid="{00000000-0005-0000-0000-00001B1B0000}"/>
    <cellStyle name="Percentuale 38 3 3 4" xfId="7535" xr:uid="{00000000-0005-0000-0000-00001C1B0000}"/>
    <cellStyle name="Percentuale 38 3 4" xfId="4856" xr:uid="{00000000-0005-0000-0000-00001D1B0000}"/>
    <cellStyle name="Percentuale 38 3 5" xfId="7536" xr:uid="{00000000-0005-0000-0000-00001E1B0000}"/>
    <cellStyle name="Percentuale 38 3 6" xfId="7537" xr:uid="{00000000-0005-0000-0000-00001F1B0000}"/>
    <cellStyle name="Percentuale 38 4" xfId="1579" xr:uid="{00000000-0005-0000-0000-0000201B0000}"/>
    <cellStyle name="Percentuale 38 4 2" xfId="2942" xr:uid="{00000000-0005-0000-0000-0000211B0000}"/>
    <cellStyle name="Percentuale 38 4 2 2" xfId="4859" xr:uid="{00000000-0005-0000-0000-0000221B0000}"/>
    <cellStyle name="Percentuale 38 4 3" xfId="4858" xr:uid="{00000000-0005-0000-0000-0000231B0000}"/>
    <cellStyle name="Percentuale 38 4 4" xfId="7538" xr:uid="{00000000-0005-0000-0000-0000241B0000}"/>
    <cellStyle name="Percentuale 38 4 5" xfId="7539" xr:uid="{00000000-0005-0000-0000-0000251B0000}"/>
    <cellStyle name="Percentuale 38 5" xfId="1580" xr:uid="{00000000-0005-0000-0000-0000261B0000}"/>
    <cellStyle name="Percentuale 38 5 2" xfId="7540" xr:uid="{00000000-0005-0000-0000-0000271B0000}"/>
    <cellStyle name="Percentuale 38 5 3" xfId="7541" xr:uid="{00000000-0005-0000-0000-0000281B0000}"/>
    <cellStyle name="Percentuale 38 6" xfId="1581" xr:uid="{00000000-0005-0000-0000-0000291B0000}"/>
    <cellStyle name="Percentuale 38 7" xfId="7542" xr:uid="{00000000-0005-0000-0000-00002A1B0000}"/>
    <cellStyle name="Percentuale 39" xfId="1582" xr:uid="{00000000-0005-0000-0000-00002B1B0000}"/>
    <cellStyle name="Percentuale 39 2" xfId="1583" xr:uid="{00000000-0005-0000-0000-00002C1B0000}"/>
    <cellStyle name="Percentuale 39 2 2" xfId="4860" xr:uid="{00000000-0005-0000-0000-00002D1B0000}"/>
    <cellStyle name="Percentuale 39 2 3" xfId="7543" xr:uid="{00000000-0005-0000-0000-00002E1B0000}"/>
    <cellStyle name="Percentuale 39 2 4" xfId="7544" xr:uid="{00000000-0005-0000-0000-00002F1B0000}"/>
    <cellStyle name="Percentuale 39 3" xfId="1584" xr:uid="{00000000-0005-0000-0000-0000301B0000}"/>
    <cellStyle name="Percentuale 39 3 2" xfId="1585" xr:uid="{00000000-0005-0000-0000-0000311B0000}"/>
    <cellStyle name="Percentuale 39 3 2 2" xfId="2944" xr:uid="{00000000-0005-0000-0000-0000321B0000}"/>
    <cellStyle name="Percentuale 39 3 2 3" xfId="2943" xr:uid="{00000000-0005-0000-0000-0000331B0000}"/>
    <cellStyle name="Percentuale 39 3 3" xfId="3834" xr:uid="{00000000-0005-0000-0000-0000341B0000}"/>
    <cellStyle name="Percentuale 39 3 3 2" xfId="4862" xr:uid="{00000000-0005-0000-0000-0000351B0000}"/>
    <cellStyle name="Percentuale 39 3 3 3" xfId="7545" xr:uid="{00000000-0005-0000-0000-0000361B0000}"/>
    <cellStyle name="Percentuale 39 3 3 4" xfId="7546" xr:uid="{00000000-0005-0000-0000-0000371B0000}"/>
    <cellStyle name="Percentuale 39 3 4" xfId="4861" xr:uid="{00000000-0005-0000-0000-0000381B0000}"/>
    <cellStyle name="Percentuale 39 3 5" xfId="7547" xr:uid="{00000000-0005-0000-0000-0000391B0000}"/>
    <cellStyle name="Percentuale 39 3 6" xfId="7548" xr:uid="{00000000-0005-0000-0000-00003A1B0000}"/>
    <cellStyle name="Percentuale 39 4" xfId="1586" xr:uid="{00000000-0005-0000-0000-00003B1B0000}"/>
    <cellStyle name="Percentuale 39 4 2" xfId="2945" xr:uid="{00000000-0005-0000-0000-00003C1B0000}"/>
    <cellStyle name="Percentuale 39 4 2 2" xfId="4864" xr:uid="{00000000-0005-0000-0000-00003D1B0000}"/>
    <cellStyle name="Percentuale 39 4 3" xfId="4863" xr:uid="{00000000-0005-0000-0000-00003E1B0000}"/>
    <cellStyle name="Percentuale 39 4 4" xfId="7549" xr:uid="{00000000-0005-0000-0000-00003F1B0000}"/>
    <cellStyle name="Percentuale 39 4 5" xfId="7550" xr:uid="{00000000-0005-0000-0000-0000401B0000}"/>
    <cellStyle name="Percentuale 39 5" xfId="1587" xr:uid="{00000000-0005-0000-0000-0000411B0000}"/>
    <cellStyle name="Percentuale 39 5 2" xfId="7551" xr:uid="{00000000-0005-0000-0000-0000421B0000}"/>
    <cellStyle name="Percentuale 39 5 3" xfId="7552" xr:uid="{00000000-0005-0000-0000-0000431B0000}"/>
    <cellStyle name="Percentuale 39 6" xfId="1588" xr:uid="{00000000-0005-0000-0000-0000441B0000}"/>
    <cellStyle name="Percentuale 39 7" xfId="7553" xr:uid="{00000000-0005-0000-0000-0000451B0000}"/>
    <cellStyle name="Percentuale 4" xfId="1589" xr:uid="{00000000-0005-0000-0000-0000461B0000}"/>
    <cellStyle name="Percentuale 4 2" xfId="1590" xr:uid="{00000000-0005-0000-0000-0000471B0000}"/>
    <cellStyle name="Percentuale 4 2 2" xfId="4865" xr:uid="{00000000-0005-0000-0000-0000481B0000}"/>
    <cellStyle name="Percentuale 4 2 3" xfId="7554" xr:uid="{00000000-0005-0000-0000-0000491B0000}"/>
    <cellStyle name="Percentuale 4 2 4" xfId="7555" xr:uid="{00000000-0005-0000-0000-00004A1B0000}"/>
    <cellStyle name="Percentuale 4 3" xfId="1591" xr:uid="{00000000-0005-0000-0000-00004B1B0000}"/>
    <cellStyle name="Percentuale 4 3 2" xfId="1592" xr:uid="{00000000-0005-0000-0000-00004C1B0000}"/>
    <cellStyle name="Percentuale 4 3 2 2" xfId="2947" xr:uid="{00000000-0005-0000-0000-00004D1B0000}"/>
    <cellStyle name="Percentuale 4 3 2 3" xfId="2946" xr:uid="{00000000-0005-0000-0000-00004E1B0000}"/>
    <cellStyle name="Percentuale 4 3 3" xfId="3835" xr:uid="{00000000-0005-0000-0000-00004F1B0000}"/>
    <cellStyle name="Percentuale 4 3 3 2" xfId="4867" xr:uid="{00000000-0005-0000-0000-0000501B0000}"/>
    <cellStyle name="Percentuale 4 3 3 3" xfId="7556" xr:uid="{00000000-0005-0000-0000-0000511B0000}"/>
    <cellStyle name="Percentuale 4 3 3 4" xfId="7557" xr:uid="{00000000-0005-0000-0000-0000521B0000}"/>
    <cellStyle name="Percentuale 4 3 4" xfId="4866" xr:uid="{00000000-0005-0000-0000-0000531B0000}"/>
    <cellStyle name="Percentuale 4 3 5" xfId="7558" xr:uid="{00000000-0005-0000-0000-0000541B0000}"/>
    <cellStyle name="Percentuale 4 3 6" xfId="7559" xr:uid="{00000000-0005-0000-0000-0000551B0000}"/>
    <cellStyle name="Percentuale 4 4" xfId="1593" xr:uid="{00000000-0005-0000-0000-0000561B0000}"/>
    <cellStyle name="Percentuale 4 4 2" xfId="2948" xr:uid="{00000000-0005-0000-0000-0000571B0000}"/>
    <cellStyle name="Percentuale 4 4 2 2" xfId="4869" xr:uid="{00000000-0005-0000-0000-0000581B0000}"/>
    <cellStyle name="Percentuale 4 4 3" xfId="4868" xr:uid="{00000000-0005-0000-0000-0000591B0000}"/>
    <cellStyle name="Percentuale 4 4 4" xfId="7560" xr:uid="{00000000-0005-0000-0000-00005A1B0000}"/>
    <cellStyle name="Percentuale 4 4 5" xfId="7561" xr:uid="{00000000-0005-0000-0000-00005B1B0000}"/>
    <cellStyle name="Percentuale 4 5" xfId="1594" xr:uid="{00000000-0005-0000-0000-00005C1B0000}"/>
    <cellStyle name="Percentuale 4 5 2" xfId="7562" xr:uid="{00000000-0005-0000-0000-00005D1B0000}"/>
    <cellStyle name="Percentuale 4 5 3" xfId="7563" xr:uid="{00000000-0005-0000-0000-00005E1B0000}"/>
    <cellStyle name="Percentuale 4 6" xfId="1595" xr:uid="{00000000-0005-0000-0000-00005F1B0000}"/>
    <cellStyle name="Percentuale 4 7" xfId="7564" xr:uid="{00000000-0005-0000-0000-0000601B0000}"/>
    <cellStyle name="Percentuale 40" xfId="1596" xr:uid="{00000000-0005-0000-0000-0000611B0000}"/>
    <cellStyle name="Percentuale 40 2" xfId="1597" xr:uid="{00000000-0005-0000-0000-0000621B0000}"/>
    <cellStyle name="Percentuale 40 2 2" xfId="4870" xr:uid="{00000000-0005-0000-0000-0000631B0000}"/>
    <cellStyle name="Percentuale 40 2 3" xfId="7565" xr:uid="{00000000-0005-0000-0000-0000641B0000}"/>
    <cellStyle name="Percentuale 40 2 4" xfId="7566" xr:uid="{00000000-0005-0000-0000-0000651B0000}"/>
    <cellStyle name="Percentuale 40 3" xfId="1598" xr:uid="{00000000-0005-0000-0000-0000661B0000}"/>
    <cellStyle name="Percentuale 40 3 2" xfId="1599" xr:uid="{00000000-0005-0000-0000-0000671B0000}"/>
    <cellStyle name="Percentuale 40 3 2 2" xfId="2950" xr:uid="{00000000-0005-0000-0000-0000681B0000}"/>
    <cellStyle name="Percentuale 40 3 2 3" xfId="2949" xr:uid="{00000000-0005-0000-0000-0000691B0000}"/>
    <cellStyle name="Percentuale 40 3 3" xfId="3836" xr:uid="{00000000-0005-0000-0000-00006A1B0000}"/>
    <cellStyle name="Percentuale 40 3 3 2" xfId="4872" xr:uid="{00000000-0005-0000-0000-00006B1B0000}"/>
    <cellStyle name="Percentuale 40 3 3 3" xfId="7567" xr:uid="{00000000-0005-0000-0000-00006C1B0000}"/>
    <cellStyle name="Percentuale 40 3 3 4" xfId="7568" xr:uid="{00000000-0005-0000-0000-00006D1B0000}"/>
    <cellStyle name="Percentuale 40 3 4" xfId="4871" xr:uid="{00000000-0005-0000-0000-00006E1B0000}"/>
    <cellStyle name="Percentuale 40 3 5" xfId="7569" xr:uid="{00000000-0005-0000-0000-00006F1B0000}"/>
    <cellStyle name="Percentuale 40 3 6" xfId="7570" xr:uid="{00000000-0005-0000-0000-0000701B0000}"/>
    <cellStyle name="Percentuale 40 4" xfId="1600" xr:uid="{00000000-0005-0000-0000-0000711B0000}"/>
    <cellStyle name="Percentuale 40 4 2" xfId="2951" xr:uid="{00000000-0005-0000-0000-0000721B0000}"/>
    <cellStyle name="Percentuale 40 4 2 2" xfId="4874" xr:uid="{00000000-0005-0000-0000-0000731B0000}"/>
    <cellStyle name="Percentuale 40 4 3" xfId="4873" xr:uid="{00000000-0005-0000-0000-0000741B0000}"/>
    <cellStyle name="Percentuale 40 4 4" xfId="7571" xr:uid="{00000000-0005-0000-0000-0000751B0000}"/>
    <cellStyle name="Percentuale 40 4 5" xfId="7572" xr:uid="{00000000-0005-0000-0000-0000761B0000}"/>
    <cellStyle name="Percentuale 40 5" xfId="1601" xr:uid="{00000000-0005-0000-0000-0000771B0000}"/>
    <cellStyle name="Percentuale 40 5 2" xfId="7573" xr:uid="{00000000-0005-0000-0000-0000781B0000}"/>
    <cellStyle name="Percentuale 40 5 3" xfId="7574" xr:uid="{00000000-0005-0000-0000-0000791B0000}"/>
    <cellStyle name="Percentuale 40 6" xfId="1602" xr:uid="{00000000-0005-0000-0000-00007A1B0000}"/>
    <cellStyle name="Percentuale 40 7" xfId="7575" xr:uid="{00000000-0005-0000-0000-00007B1B0000}"/>
    <cellStyle name="Percentuale 41" xfId="1603" xr:uid="{00000000-0005-0000-0000-00007C1B0000}"/>
    <cellStyle name="Percentuale 41 2" xfId="1604" xr:uid="{00000000-0005-0000-0000-00007D1B0000}"/>
    <cellStyle name="Percentuale 41 2 2" xfId="4875" xr:uid="{00000000-0005-0000-0000-00007E1B0000}"/>
    <cellStyle name="Percentuale 41 2 3" xfId="7576" xr:uid="{00000000-0005-0000-0000-00007F1B0000}"/>
    <cellStyle name="Percentuale 41 2 4" xfId="7577" xr:uid="{00000000-0005-0000-0000-0000801B0000}"/>
    <cellStyle name="Percentuale 41 3" xfId="1605" xr:uid="{00000000-0005-0000-0000-0000811B0000}"/>
    <cellStyle name="Percentuale 41 3 2" xfId="1606" xr:uid="{00000000-0005-0000-0000-0000821B0000}"/>
    <cellStyle name="Percentuale 41 3 2 2" xfId="2953" xr:uid="{00000000-0005-0000-0000-0000831B0000}"/>
    <cellStyle name="Percentuale 41 3 2 3" xfId="2952" xr:uid="{00000000-0005-0000-0000-0000841B0000}"/>
    <cellStyle name="Percentuale 41 3 3" xfId="3837" xr:uid="{00000000-0005-0000-0000-0000851B0000}"/>
    <cellStyle name="Percentuale 41 3 3 2" xfId="4877" xr:uid="{00000000-0005-0000-0000-0000861B0000}"/>
    <cellStyle name="Percentuale 41 3 3 3" xfId="7578" xr:uid="{00000000-0005-0000-0000-0000871B0000}"/>
    <cellStyle name="Percentuale 41 3 3 4" xfId="7579" xr:uid="{00000000-0005-0000-0000-0000881B0000}"/>
    <cellStyle name="Percentuale 41 3 4" xfId="4876" xr:uid="{00000000-0005-0000-0000-0000891B0000}"/>
    <cellStyle name="Percentuale 41 3 5" xfId="7580" xr:uid="{00000000-0005-0000-0000-00008A1B0000}"/>
    <cellStyle name="Percentuale 41 3 6" xfId="7581" xr:uid="{00000000-0005-0000-0000-00008B1B0000}"/>
    <cellStyle name="Percentuale 41 4" xfId="1607" xr:uid="{00000000-0005-0000-0000-00008C1B0000}"/>
    <cellStyle name="Percentuale 41 4 2" xfId="2954" xr:uid="{00000000-0005-0000-0000-00008D1B0000}"/>
    <cellStyle name="Percentuale 41 4 2 2" xfId="4879" xr:uid="{00000000-0005-0000-0000-00008E1B0000}"/>
    <cellStyle name="Percentuale 41 4 3" xfId="4878" xr:uid="{00000000-0005-0000-0000-00008F1B0000}"/>
    <cellStyle name="Percentuale 41 4 4" xfId="7582" xr:uid="{00000000-0005-0000-0000-0000901B0000}"/>
    <cellStyle name="Percentuale 41 4 5" xfId="7583" xr:uid="{00000000-0005-0000-0000-0000911B0000}"/>
    <cellStyle name="Percentuale 41 5" xfId="1608" xr:uid="{00000000-0005-0000-0000-0000921B0000}"/>
    <cellStyle name="Percentuale 41 5 2" xfId="7584" xr:uid="{00000000-0005-0000-0000-0000931B0000}"/>
    <cellStyle name="Percentuale 41 5 3" xfId="7585" xr:uid="{00000000-0005-0000-0000-0000941B0000}"/>
    <cellStyle name="Percentuale 41 6" xfId="1609" xr:uid="{00000000-0005-0000-0000-0000951B0000}"/>
    <cellStyle name="Percentuale 41 7" xfId="7586" xr:uid="{00000000-0005-0000-0000-0000961B0000}"/>
    <cellStyle name="Percentuale 42" xfId="1610" xr:uid="{00000000-0005-0000-0000-0000971B0000}"/>
    <cellStyle name="Percentuale 42 2" xfId="1611" xr:uid="{00000000-0005-0000-0000-0000981B0000}"/>
    <cellStyle name="Percentuale 42 2 2" xfId="4880" xr:uid="{00000000-0005-0000-0000-0000991B0000}"/>
    <cellStyle name="Percentuale 42 2 3" xfId="7587" xr:uid="{00000000-0005-0000-0000-00009A1B0000}"/>
    <cellStyle name="Percentuale 42 2 4" xfId="7588" xr:uid="{00000000-0005-0000-0000-00009B1B0000}"/>
    <cellStyle name="Percentuale 42 3" xfId="1612" xr:uid="{00000000-0005-0000-0000-00009C1B0000}"/>
    <cellStyle name="Percentuale 42 3 2" xfId="1613" xr:uid="{00000000-0005-0000-0000-00009D1B0000}"/>
    <cellStyle name="Percentuale 42 3 2 2" xfId="2956" xr:uid="{00000000-0005-0000-0000-00009E1B0000}"/>
    <cellStyle name="Percentuale 42 3 2 3" xfId="2955" xr:uid="{00000000-0005-0000-0000-00009F1B0000}"/>
    <cellStyle name="Percentuale 42 3 3" xfId="3838" xr:uid="{00000000-0005-0000-0000-0000A01B0000}"/>
    <cellStyle name="Percentuale 42 3 3 2" xfId="4882" xr:uid="{00000000-0005-0000-0000-0000A11B0000}"/>
    <cellStyle name="Percentuale 42 3 3 3" xfId="7589" xr:uid="{00000000-0005-0000-0000-0000A21B0000}"/>
    <cellStyle name="Percentuale 42 3 3 4" xfId="7590" xr:uid="{00000000-0005-0000-0000-0000A31B0000}"/>
    <cellStyle name="Percentuale 42 3 4" xfId="4881" xr:uid="{00000000-0005-0000-0000-0000A41B0000}"/>
    <cellStyle name="Percentuale 42 3 5" xfId="7591" xr:uid="{00000000-0005-0000-0000-0000A51B0000}"/>
    <cellStyle name="Percentuale 42 3 6" xfId="7592" xr:uid="{00000000-0005-0000-0000-0000A61B0000}"/>
    <cellStyle name="Percentuale 42 4" xfId="1614" xr:uid="{00000000-0005-0000-0000-0000A71B0000}"/>
    <cellStyle name="Percentuale 42 4 2" xfId="2957" xr:uid="{00000000-0005-0000-0000-0000A81B0000}"/>
    <cellStyle name="Percentuale 42 4 2 2" xfId="4884" xr:uid="{00000000-0005-0000-0000-0000A91B0000}"/>
    <cellStyle name="Percentuale 42 4 3" xfId="4883" xr:uid="{00000000-0005-0000-0000-0000AA1B0000}"/>
    <cellStyle name="Percentuale 42 4 4" xfId="7593" xr:uid="{00000000-0005-0000-0000-0000AB1B0000}"/>
    <cellStyle name="Percentuale 42 4 5" xfId="7594" xr:uid="{00000000-0005-0000-0000-0000AC1B0000}"/>
    <cellStyle name="Percentuale 42 5" xfId="1615" xr:uid="{00000000-0005-0000-0000-0000AD1B0000}"/>
    <cellStyle name="Percentuale 42 5 2" xfId="7595" xr:uid="{00000000-0005-0000-0000-0000AE1B0000}"/>
    <cellStyle name="Percentuale 42 5 3" xfId="7596" xr:uid="{00000000-0005-0000-0000-0000AF1B0000}"/>
    <cellStyle name="Percentuale 42 6" xfId="1616" xr:uid="{00000000-0005-0000-0000-0000B01B0000}"/>
    <cellStyle name="Percentuale 42 7" xfId="7597" xr:uid="{00000000-0005-0000-0000-0000B11B0000}"/>
    <cellStyle name="Percentuale 43" xfId="1617" xr:uid="{00000000-0005-0000-0000-0000B21B0000}"/>
    <cellStyle name="Percentuale 43 2" xfId="1618" xr:uid="{00000000-0005-0000-0000-0000B31B0000}"/>
    <cellStyle name="Percentuale 43 2 2" xfId="4885" xr:uid="{00000000-0005-0000-0000-0000B41B0000}"/>
    <cellStyle name="Percentuale 43 2 3" xfId="7598" xr:uid="{00000000-0005-0000-0000-0000B51B0000}"/>
    <cellStyle name="Percentuale 43 2 4" xfId="7599" xr:uid="{00000000-0005-0000-0000-0000B61B0000}"/>
    <cellStyle name="Percentuale 43 3" xfId="1619" xr:uid="{00000000-0005-0000-0000-0000B71B0000}"/>
    <cellStyle name="Percentuale 43 3 2" xfId="1620" xr:uid="{00000000-0005-0000-0000-0000B81B0000}"/>
    <cellStyle name="Percentuale 43 3 2 2" xfId="2959" xr:uid="{00000000-0005-0000-0000-0000B91B0000}"/>
    <cellStyle name="Percentuale 43 3 2 3" xfId="2958" xr:uid="{00000000-0005-0000-0000-0000BA1B0000}"/>
    <cellStyle name="Percentuale 43 3 3" xfId="3839" xr:uid="{00000000-0005-0000-0000-0000BB1B0000}"/>
    <cellStyle name="Percentuale 43 3 3 2" xfId="4887" xr:uid="{00000000-0005-0000-0000-0000BC1B0000}"/>
    <cellStyle name="Percentuale 43 3 3 3" xfId="7600" xr:uid="{00000000-0005-0000-0000-0000BD1B0000}"/>
    <cellStyle name="Percentuale 43 3 3 4" xfId="7601" xr:uid="{00000000-0005-0000-0000-0000BE1B0000}"/>
    <cellStyle name="Percentuale 43 3 4" xfId="4886" xr:uid="{00000000-0005-0000-0000-0000BF1B0000}"/>
    <cellStyle name="Percentuale 43 3 5" xfId="7602" xr:uid="{00000000-0005-0000-0000-0000C01B0000}"/>
    <cellStyle name="Percentuale 43 3 6" xfId="7603" xr:uid="{00000000-0005-0000-0000-0000C11B0000}"/>
    <cellStyle name="Percentuale 43 4" xfId="1621" xr:uid="{00000000-0005-0000-0000-0000C21B0000}"/>
    <cellStyle name="Percentuale 43 4 2" xfId="2960" xr:uid="{00000000-0005-0000-0000-0000C31B0000}"/>
    <cellStyle name="Percentuale 43 4 2 2" xfId="4889" xr:uid="{00000000-0005-0000-0000-0000C41B0000}"/>
    <cellStyle name="Percentuale 43 4 3" xfId="4888" xr:uid="{00000000-0005-0000-0000-0000C51B0000}"/>
    <cellStyle name="Percentuale 43 4 4" xfId="7604" xr:uid="{00000000-0005-0000-0000-0000C61B0000}"/>
    <cellStyle name="Percentuale 43 4 5" xfId="7605" xr:uid="{00000000-0005-0000-0000-0000C71B0000}"/>
    <cellStyle name="Percentuale 43 5" xfId="1622" xr:uid="{00000000-0005-0000-0000-0000C81B0000}"/>
    <cellStyle name="Percentuale 43 5 2" xfId="7606" xr:uid="{00000000-0005-0000-0000-0000C91B0000}"/>
    <cellStyle name="Percentuale 43 5 3" xfId="7607" xr:uid="{00000000-0005-0000-0000-0000CA1B0000}"/>
    <cellStyle name="Percentuale 43 6" xfId="1623" xr:uid="{00000000-0005-0000-0000-0000CB1B0000}"/>
    <cellStyle name="Percentuale 43 7" xfId="7608" xr:uid="{00000000-0005-0000-0000-0000CC1B0000}"/>
    <cellStyle name="Percentuale 44" xfId="1624" xr:uid="{00000000-0005-0000-0000-0000CD1B0000}"/>
    <cellStyle name="Percentuale 44 2" xfId="1625" xr:uid="{00000000-0005-0000-0000-0000CE1B0000}"/>
    <cellStyle name="Percentuale 44 2 2" xfId="4890" xr:uid="{00000000-0005-0000-0000-0000CF1B0000}"/>
    <cellStyle name="Percentuale 44 2 3" xfId="7609" xr:uid="{00000000-0005-0000-0000-0000D01B0000}"/>
    <cellStyle name="Percentuale 44 2 4" xfId="7610" xr:uid="{00000000-0005-0000-0000-0000D11B0000}"/>
    <cellStyle name="Percentuale 44 3" xfId="1626" xr:uid="{00000000-0005-0000-0000-0000D21B0000}"/>
    <cellStyle name="Percentuale 44 3 2" xfId="1627" xr:uid="{00000000-0005-0000-0000-0000D31B0000}"/>
    <cellStyle name="Percentuale 44 3 2 2" xfId="2962" xr:uid="{00000000-0005-0000-0000-0000D41B0000}"/>
    <cellStyle name="Percentuale 44 3 2 3" xfId="2961" xr:uid="{00000000-0005-0000-0000-0000D51B0000}"/>
    <cellStyle name="Percentuale 44 3 3" xfId="3840" xr:uid="{00000000-0005-0000-0000-0000D61B0000}"/>
    <cellStyle name="Percentuale 44 3 3 2" xfId="4892" xr:uid="{00000000-0005-0000-0000-0000D71B0000}"/>
    <cellStyle name="Percentuale 44 3 3 3" xfId="7611" xr:uid="{00000000-0005-0000-0000-0000D81B0000}"/>
    <cellStyle name="Percentuale 44 3 3 4" xfId="7612" xr:uid="{00000000-0005-0000-0000-0000D91B0000}"/>
    <cellStyle name="Percentuale 44 3 4" xfId="4891" xr:uid="{00000000-0005-0000-0000-0000DA1B0000}"/>
    <cellStyle name="Percentuale 44 3 5" xfId="7613" xr:uid="{00000000-0005-0000-0000-0000DB1B0000}"/>
    <cellStyle name="Percentuale 44 3 6" xfId="7614" xr:uid="{00000000-0005-0000-0000-0000DC1B0000}"/>
    <cellStyle name="Percentuale 44 4" xfId="1628" xr:uid="{00000000-0005-0000-0000-0000DD1B0000}"/>
    <cellStyle name="Percentuale 44 4 2" xfId="2963" xr:uid="{00000000-0005-0000-0000-0000DE1B0000}"/>
    <cellStyle name="Percentuale 44 4 2 2" xfId="4894" xr:uid="{00000000-0005-0000-0000-0000DF1B0000}"/>
    <cellStyle name="Percentuale 44 4 3" xfId="4893" xr:uid="{00000000-0005-0000-0000-0000E01B0000}"/>
    <cellStyle name="Percentuale 44 4 4" xfId="7615" xr:uid="{00000000-0005-0000-0000-0000E11B0000}"/>
    <cellStyle name="Percentuale 44 4 5" xfId="7616" xr:uid="{00000000-0005-0000-0000-0000E21B0000}"/>
    <cellStyle name="Percentuale 44 5" xfId="1629" xr:uid="{00000000-0005-0000-0000-0000E31B0000}"/>
    <cellStyle name="Percentuale 44 5 2" xfId="7617" xr:uid="{00000000-0005-0000-0000-0000E41B0000}"/>
    <cellStyle name="Percentuale 44 5 3" xfId="7618" xr:uid="{00000000-0005-0000-0000-0000E51B0000}"/>
    <cellStyle name="Percentuale 44 6" xfId="1630" xr:uid="{00000000-0005-0000-0000-0000E61B0000}"/>
    <cellStyle name="Percentuale 44 7" xfId="7619" xr:uid="{00000000-0005-0000-0000-0000E71B0000}"/>
    <cellStyle name="Percentuale 45" xfId="1631" xr:uid="{00000000-0005-0000-0000-0000E81B0000}"/>
    <cellStyle name="Percentuale 45 2" xfId="1632" xr:uid="{00000000-0005-0000-0000-0000E91B0000}"/>
    <cellStyle name="Percentuale 45 2 2" xfId="4895" xr:uid="{00000000-0005-0000-0000-0000EA1B0000}"/>
    <cellStyle name="Percentuale 45 2 3" xfId="7620" xr:uid="{00000000-0005-0000-0000-0000EB1B0000}"/>
    <cellStyle name="Percentuale 45 2 4" xfId="7621" xr:uid="{00000000-0005-0000-0000-0000EC1B0000}"/>
    <cellStyle name="Percentuale 45 3" xfId="1633" xr:uid="{00000000-0005-0000-0000-0000ED1B0000}"/>
    <cellStyle name="Percentuale 45 3 2" xfId="1634" xr:uid="{00000000-0005-0000-0000-0000EE1B0000}"/>
    <cellStyle name="Percentuale 45 3 2 2" xfId="2965" xr:uid="{00000000-0005-0000-0000-0000EF1B0000}"/>
    <cellStyle name="Percentuale 45 3 2 3" xfId="2964" xr:uid="{00000000-0005-0000-0000-0000F01B0000}"/>
    <cellStyle name="Percentuale 45 3 3" xfId="3841" xr:uid="{00000000-0005-0000-0000-0000F11B0000}"/>
    <cellStyle name="Percentuale 45 3 3 2" xfId="4897" xr:uid="{00000000-0005-0000-0000-0000F21B0000}"/>
    <cellStyle name="Percentuale 45 3 3 3" xfId="7622" xr:uid="{00000000-0005-0000-0000-0000F31B0000}"/>
    <cellStyle name="Percentuale 45 3 3 4" xfId="7623" xr:uid="{00000000-0005-0000-0000-0000F41B0000}"/>
    <cellStyle name="Percentuale 45 3 4" xfId="4896" xr:uid="{00000000-0005-0000-0000-0000F51B0000}"/>
    <cellStyle name="Percentuale 45 3 5" xfId="7624" xr:uid="{00000000-0005-0000-0000-0000F61B0000}"/>
    <cellStyle name="Percentuale 45 3 6" xfId="7625" xr:uid="{00000000-0005-0000-0000-0000F71B0000}"/>
    <cellStyle name="Percentuale 45 4" xfId="1635" xr:uid="{00000000-0005-0000-0000-0000F81B0000}"/>
    <cellStyle name="Percentuale 45 4 2" xfId="2966" xr:uid="{00000000-0005-0000-0000-0000F91B0000}"/>
    <cellStyle name="Percentuale 45 4 2 2" xfId="4899" xr:uid="{00000000-0005-0000-0000-0000FA1B0000}"/>
    <cellStyle name="Percentuale 45 4 3" xfId="4898" xr:uid="{00000000-0005-0000-0000-0000FB1B0000}"/>
    <cellStyle name="Percentuale 45 4 4" xfId="7626" xr:uid="{00000000-0005-0000-0000-0000FC1B0000}"/>
    <cellStyle name="Percentuale 45 4 5" xfId="7627" xr:uid="{00000000-0005-0000-0000-0000FD1B0000}"/>
    <cellStyle name="Percentuale 45 5" xfId="1636" xr:uid="{00000000-0005-0000-0000-0000FE1B0000}"/>
    <cellStyle name="Percentuale 45 5 2" xfId="7628" xr:uid="{00000000-0005-0000-0000-0000FF1B0000}"/>
    <cellStyle name="Percentuale 45 5 3" xfId="7629" xr:uid="{00000000-0005-0000-0000-0000001C0000}"/>
    <cellStyle name="Percentuale 45 6" xfId="1637" xr:uid="{00000000-0005-0000-0000-0000011C0000}"/>
    <cellStyle name="Percentuale 45 7" xfId="7630" xr:uid="{00000000-0005-0000-0000-0000021C0000}"/>
    <cellStyle name="Percentuale 46" xfId="1638" xr:uid="{00000000-0005-0000-0000-0000031C0000}"/>
    <cellStyle name="Percentuale 46 2" xfId="1639" xr:uid="{00000000-0005-0000-0000-0000041C0000}"/>
    <cellStyle name="Percentuale 46 2 2" xfId="4900" xr:uid="{00000000-0005-0000-0000-0000051C0000}"/>
    <cellStyle name="Percentuale 46 2 3" xfId="7631" xr:uid="{00000000-0005-0000-0000-0000061C0000}"/>
    <cellStyle name="Percentuale 46 2 4" xfId="7632" xr:uid="{00000000-0005-0000-0000-0000071C0000}"/>
    <cellStyle name="Percentuale 46 3" xfId="1640" xr:uid="{00000000-0005-0000-0000-0000081C0000}"/>
    <cellStyle name="Percentuale 46 3 2" xfId="1641" xr:uid="{00000000-0005-0000-0000-0000091C0000}"/>
    <cellStyle name="Percentuale 46 3 2 2" xfId="2968" xr:uid="{00000000-0005-0000-0000-00000A1C0000}"/>
    <cellStyle name="Percentuale 46 3 2 3" xfId="2967" xr:uid="{00000000-0005-0000-0000-00000B1C0000}"/>
    <cellStyle name="Percentuale 46 3 3" xfId="3842" xr:uid="{00000000-0005-0000-0000-00000C1C0000}"/>
    <cellStyle name="Percentuale 46 3 3 2" xfId="4902" xr:uid="{00000000-0005-0000-0000-00000D1C0000}"/>
    <cellStyle name="Percentuale 46 3 3 3" xfId="7633" xr:uid="{00000000-0005-0000-0000-00000E1C0000}"/>
    <cellStyle name="Percentuale 46 3 3 4" xfId="7634" xr:uid="{00000000-0005-0000-0000-00000F1C0000}"/>
    <cellStyle name="Percentuale 46 3 4" xfId="4901" xr:uid="{00000000-0005-0000-0000-0000101C0000}"/>
    <cellStyle name="Percentuale 46 3 5" xfId="7635" xr:uid="{00000000-0005-0000-0000-0000111C0000}"/>
    <cellStyle name="Percentuale 46 3 6" xfId="7636" xr:uid="{00000000-0005-0000-0000-0000121C0000}"/>
    <cellStyle name="Percentuale 46 4" xfId="1642" xr:uid="{00000000-0005-0000-0000-0000131C0000}"/>
    <cellStyle name="Percentuale 46 4 2" xfId="2969" xr:uid="{00000000-0005-0000-0000-0000141C0000}"/>
    <cellStyle name="Percentuale 46 4 2 2" xfId="4904" xr:uid="{00000000-0005-0000-0000-0000151C0000}"/>
    <cellStyle name="Percentuale 46 4 3" xfId="4903" xr:uid="{00000000-0005-0000-0000-0000161C0000}"/>
    <cellStyle name="Percentuale 46 4 4" xfId="7637" xr:uid="{00000000-0005-0000-0000-0000171C0000}"/>
    <cellStyle name="Percentuale 46 4 5" xfId="7638" xr:uid="{00000000-0005-0000-0000-0000181C0000}"/>
    <cellStyle name="Percentuale 46 5" xfId="1643" xr:uid="{00000000-0005-0000-0000-0000191C0000}"/>
    <cellStyle name="Percentuale 46 5 2" xfId="7639" xr:uid="{00000000-0005-0000-0000-00001A1C0000}"/>
    <cellStyle name="Percentuale 46 5 3" xfId="7640" xr:uid="{00000000-0005-0000-0000-00001B1C0000}"/>
    <cellStyle name="Percentuale 46 6" xfId="1644" xr:uid="{00000000-0005-0000-0000-00001C1C0000}"/>
    <cellStyle name="Percentuale 46 7" xfId="7641" xr:uid="{00000000-0005-0000-0000-00001D1C0000}"/>
    <cellStyle name="Percentuale 47" xfId="1645" xr:uid="{00000000-0005-0000-0000-00001E1C0000}"/>
    <cellStyle name="Percentuale 47 2" xfId="1646" xr:uid="{00000000-0005-0000-0000-00001F1C0000}"/>
    <cellStyle name="Percentuale 47 2 2" xfId="4905" xr:uid="{00000000-0005-0000-0000-0000201C0000}"/>
    <cellStyle name="Percentuale 47 2 3" xfId="7642" xr:uid="{00000000-0005-0000-0000-0000211C0000}"/>
    <cellStyle name="Percentuale 47 2 4" xfId="7643" xr:uid="{00000000-0005-0000-0000-0000221C0000}"/>
    <cellStyle name="Percentuale 47 3" xfId="1647" xr:uid="{00000000-0005-0000-0000-0000231C0000}"/>
    <cellStyle name="Percentuale 47 3 2" xfId="1648" xr:uid="{00000000-0005-0000-0000-0000241C0000}"/>
    <cellStyle name="Percentuale 47 3 2 2" xfId="2971" xr:uid="{00000000-0005-0000-0000-0000251C0000}"/>
    <cellStyle name="Percentuale 47 3 2 3" xfId="2970" xr:uid="{00000000-0005-0000-0000-0000261C0000}"/>
    <cellStyle name="Percentuale 47 3 3" xfId="3843" xr:uid="{00000000-0005-0000-0000-0000271C0000}"/>
    <cellStyle name="Percentuale 47 3 3 2" xfId="4907" xr:uid="{00000000-0005-0000-0000-0000281C0000}"/>
    <cellStyle name="Percentuale 47 3 3 3" xfId="7644" xr:uid="{00000000-0005-0000-0000-0000291C0000}"/>
    <cellStyle name="Percentuale 47 3 3 4" xfId="7645" xr:uid="{00000000-0005-0000-0000-00002A1C0000}"/>
    <cellStyle name="Percentuale 47 3 4" xfId="4906" xr:uid="{00000000-0005-0000-0000-00002B1C0000}"/>
    <cellStyle name="Percentuale 47 3 5" xfId="7646" xr:uid="{00000000-0005-0000-0000-00002C1C0000}"/>
    <cellStyle name="Percentuale 47 3 6" xfId="7647" xr:uid="{00000000-0005-0000-0000-00002D1C0000}"/>
    <cellStyle name="Percentuale 47 4" xfId="1649" xr:uid="{00000000-0005-0000-0000-00002E1C0000}"/>
    <cellStyle name="Percentuale 47 4 2" xfId="2972" xr:uid="{00000000-0005-0000-0000-00002F1C0000}"/>
    <cellStyle name="Percentuale 47 4 2 2" xfId="4909" xr:uid="{00000000-0005-0000-0000-0000301C0000}"/>
    <cellStyle name="Percentuale 47 4 3" xfId="4908" xr:uid="{00000000-0005-0000-0000-0000311C0000}"/>
    <cellStyle name="Percentuale 47 4 4" xfId="7648" xr:uid="{00000000-0005-0000-0000-0000321C0000}"/>
    <cellStyle name="Percentuale 47 4 5" xfId="7649" xr:uid="{00000000-0005-0000-0000-0000331C0000}"/>
    <cellStyle name="Percentuale 47 5" xfId="1650" xr:uid="{00000000-0005-0000-0000-0000341C0000}"/>
    <cellStyle name="Percentuale 47 5 2" xfId="7650" xr:uid="{00000000-0005-0000-0000-0000351C0000}"/>
    <cellStyle name="Percentuale 47 5 3" xfId="7651" xr:uid="{00000000-0005-0000-0000-0000361C0000}"/>
    <cellStyle name="Percentuale 47 6" xfId="1651" xr:uid="{00000000-0005-0000-0000-0000371C0000}"/>
    <cellStyle name="Percentuale 47 7" xfId="7652" xr:uid="{00000000-0005-0000-0000-0000381C0000}"/>
    <cellStyle name="Percentuale 48" xfId="1652" xr:uid="{00000000-0005-0000-0000-0000391C0000}"/>
    <cellStyle name="Percentuale 48 2" xfId="1653" xr:uid="{00000000-0005-0000-0000-00003A1C0000}"/>
    <cellStyle name="Percentuale 48 2 2" xfId="4910" xr:uid="{00000000-0005-0000-0000-00003B1C0000}"/>
    <cellStyle name="Percentuale 48 2 3" xfId="7653" xr:uid="{00000000-0005-0000-0000-00003C1C0000}"/>
    <cellStyle name="Percentuale 48 2 4" xfId="7654" xr:uid="{00000000-0005-0000-0000-00003D1C0000}"/>
    <cellStyle name="Percentuale 48 3" xfId="1654" xr:uid="{00000000-0005-0000-0000-00003E1C0000}"/>
    <cellStyle name="Percentuale 48 3 2" xfId="1655" xr:uid="{00000000-0005-0000-0000-00003F1C0000}"/>
    <cellStyle name="Percentuale 48 3 2 2" xfId="2974" xr:uid="{00000000-0005-0000-0000-0000401C0000}"/>
    <cellStyle name="Percentuale 48 3 2 3" xfId="2973" xr:uid="{00000000-0005-0000-0000-0000411C0000}"/>
    <cellStyle name="Percentuale 48 3 3" xfId="3844" xr:uid="{00000000-0005-0000-0000-0000421C0000}"/>
    <cellStyle name="Percentuale 48 3 3 2" xfId="4912" xr:uid="{00000000-0005-0000-0000-0000431C0000}"/>
    <cellStyle name="Percentuale 48 3 3 3" xfId="7655" xr:uid="{00000000-0005-0000-0000-0000441C0000}"/>
    <cellStyle name="Percentuale 48 3 3 4" xfId="7656" xr:uid="{00000000-0005-0000-0000-0000451C0000}"/>
    <cellStyle name="Percentuale 48 3 4" xfId="4911" xr:uid="{00000000-0005-0000-0000-0000461C0000}"/>
    <cellStyle name="Percentuale 48 3 5" xfId="7657" xr:uid="{00000000-0005-0000-0000-0000471C0000}"/>
    <cellStyle name="Percentuale 48 3 6" xfId="7658" xr:uid="{00000000-0005-0000-0000-0000481C0000}"/>
    <cellStyle name="Percentuale 48 4" xfId="1656" xr:uid="{00000000-0005-0000-0000-0000491C0000}"/>
    <cellStyle name="Percentuale 48 4 2" xfId="2975" xr:uid="{00000000-0005-0000-0000-00004A1C0000}"/>
    <cellStyle name="Percentuale 48 4 2 2" xfId="4914" xr:uid="{00000000-0005-0000-0000-00004B1C0000}"/>
    <cellStyle name="Percentuale 48 4 3" xfId="4913" xr:uid="{00000000-0005-0000-0000-00004C1C0000}"/>
    <cellStyle name="Percentuale 48 4 4" xfId="7659" xr:uid="{00000000-0005-0000-0000-00004D1C0000}"/>
    <cellStyle name="Percentuale 48 4 5" xfId="7660" xr:uid="{00000000-0005-0000-0000-00004E1C0000}"/>
    <cellStyle name="Percentuale 48 5" xfId="1657" xr:uid="{00000000-0005-0000-0000-00004F1C0000}"/>
    <cellStyle name="Percentuale 48 5 2" xfId="7661" xr:uid="{00000000-0005-0000-0000-0000501C0000}"/>
    <cellStyle name="Percentuale 48 5 3" xfId="7662" xr:uid="{00000000-0005-0000-0000-0000511C0000}"/>
    <cellStyle name="Percentuale 48 6" xfId="1658" xr:uid="{00000000-0005-0000-0000-0000521C0000}"/>
    <cellStyle name="Percentuale 48 7" xfId="7663" xr:uid="{00000000-0005-0000-0000-0000531C0000}"/>
    <cellStyle name="Percentuale 49" xfId="1659" xr:uid="{00000000-0005-0000-0000-0000541C0000}"/>
    <cellStyle name="Percentuale 49 2" xfId="1660" xr:uid="{00000000-0005-0000-0000-0000551C0000}"/>
    <cellStyle name="Percentuale 49 2 2" xfId="4915" xr:uid="{00000000-0005-0000-0000-0000561C0000}"/>
    <cellStyle name="Percentuale 49 2 3" xfId="7664" xr:uid="{00000000-0005-0000-0000-0000571C0000}"/>
    <cellStyle name="Percentuale 49 2 4" xfId="7665" xr:uid="{00000000-0005-0000-0000-0000581C0000}"/>
    <cellStyle name="Percentuale 49 3" xfId="1661" xr:uid="{00000000-0005-0000-0000-0000591C0000}"/>
    <cellStyle name="Percentuale 49 3 2" xfId="1662" xr:uid="{00000000-0005-0000-0000-00005A1C0000}"/>
    <cellStyle name="Percentuale 49 3 2 2" xfId="2977" xr:uid="{00000000-0005-0000-0000-00005B1C0000}"/>
    <cellStyle name="Percentuale 49 3 2 3" xfId="2976" xr:uid="{00000000-0005-0000-0000-00005C1C0000}"/>
    <cellStyle name="Percentuale 49 3 3" xfId="3845" xr:uid="{00000000-0005-0000-0000-00005D1C0000}"/>
    <cellStyle name="Percentuale 49 3 3 2" xfId="4917" xr:uid="{00000000-0005-0000-0000-00005E1C0000}"/>
    <cellStyle name="Percentuale 49 3 3 3" xfId="7666" xr:uid="{00000000-0005-0000-0000-00005F1C0000}"/>
    <cellStyle name="Percentuale 49 3 3 4" xfId="7667" xr:uid="{00000000-0005-0000-0000-0000601C0000}"/>
    <cellStyle name="Percentuale 49 3 4" xfId="4916" xr:uid="{00000000-0005-0000-0000-0000611C0000}"/>
    <cellStyle name="Percentuale 49 3 5" xfId="7668" xr:uid="{00000000-0005-0000-0000-0000621C0000}"/>
    <cellStyle name="Percentuale 49 3 6" xfId="7669" xr:uid="{00000000-0005-0000-0000-0000631C0000}"/>
    <cellStyle name="Percentuale 49 4" xfId="1663" xr:uid="{00000000-0005-0000-0000-0000641C0000}"/>
    <cellStyle name="Percentuale 49 4 2" xfId="2978" xr:uid="{00000000-0005-0000-0000-0000651C0000}"/>
    <cellStyle name="Percentuale 49 4 2 2" xfId="4919" xr:uid="{00000000-0005-0000-0000-0000661C0000}"/>
    <cellStyle name="Percentuale 49 4 3" xfId="4918" xr:uid="{00000000-0005-0000-0000-0000671C0000}"/>
    <cellStyle name="Percentuale 49 4 4" xfId="7670" xr:uid="{00000000-0005-0000-0000-0000681C0000}"/>
    <cellStyle name="Percentuale 49 4 5" xfId="7671" xr:uid="{00000000-0005-0000-0000-0000691C0000}"/>
    <cellStyle name="Percentuale 49 5" xfId="1664" xr:uid="{00000000-0005-0000-0000-00006A1C0000}"/>
    <cellStyle name="Percentuale 49 5 2" xfId="7672" xr:uid="{00000000-0005-0000-0000-00006B1C0000}"/>
    <cellStyle name="Percentuale 49 5 3" xfId="7673" xr:uid="{00000000-0005-0000-0000-00006C1C0000}"/>
    <cellStyle name="Percentuale 49 6" xfId="1665" xr:uid="{00000000-0005-0000-0000-00006D1C0000}"/>
    <cellStyle name="Percentuale 49 7" xfId="7674" xr:uid="{00000000-0005-0000-0000-00006E1C0000}"/>
    <cellStyle name="Percentuale 5" xfId="1666" xr:uid="{00000000-0005-0000-0000-00006F1C0000}"/>
    <cellStyle name="Percentuale 5 2" xfId="1667" xr:uid="{00000000-0005-0000-0000-0000701C0000}"/>
    <cellStyle name="Percentuale 5 2 2" xfId="4920" xr:uid="{00000000-0005-0000-0000-0000711C0000}"/>
    <cellStyle name="Percentuale 5 2 3" xfId="7675" xr:uid="{00000000-0005-0000-0000-0000721C0000}"/>
    <cellStyle name="Percentuale 5 2 4" xfId="7676" xr:uid="{00000000-0005-0000-0000-0000731C0000}"/>
    <cellStyle name="Percentuale 5 3" xfId="1668" xr:uid="{00000000-0005-0000-0000-0000741C0000}"/>
    <cellStyle name="Percentuale 5 3 2" xfId="1669" xr:uid="{00000000-0005-0000-0000-0000751C0000}"/>
    <cellStyle name="Percentuale 5 3 2 2" xfId="2980" xr:uid="{00000000-0005-0000-0000-0000761C0000}"/>
    <cellStyle name="Percentuale 5 3 2 3" xfId="2979" xr:uid="{00000000-0005-0000-0000-0000771C0000}"/>
    <cellStyle name="Percentuale 5 3 3" xfId="3846" xr:uid="{00000000-0005-0000-0000-0000781C0000}"/>
    <cellStyle name="Percentuale 5 3 3 2" xfId="4922" xr:uid="{00000000-0005-0000-0000-0000791C0000}"/>
    <cellStyle name="Percentuale 5 3 3 3" xfId="7677" xr:uid="{00000000-0005-0000-0000-00007A1C0000}"/>
    <cellStyle name="Percentuale 5 3 3 4" xfId="7678" xr:uid="{00000000-0005-0000-0000-00007B1C0000}"/>
    <cellStyle name="Percentuale 5 3 4" xfId="4921" xr:uid="{00000000-0005-0000-0000-00007C1C0000}"/>
    <cellStyle name="Percentuale 5 3 5" xfId="7679" xr:uid="{00000000-0005-0000-0000-00007D1C0000}"/>
    <cellStyle name="Percentuale 5 3 6" xfId="7680" xr:uid="{00000000-0005-0000-0000-00007E1C0000}"/>
    <cellStyle name="Percentuale 5 4" xfId="1670" xr:uid="{00000000-0005-0000-0000-00007F1C0000}"/>
    <cellStyle name="Percentuale 5 4 2" xfId="2981" xr:uid="{00000000-0005-0000-0000-0000801C0000}"/>
    <cellStyle name="Percentuale 5 4 2 2" xfId="4924" xr:uid="{00000000-0005-0000-0000-0000811C0000}"/>
    <cellStyle name="Percentuale 5 4 3" xfId="4923" xr:uid="{00000000-0005-0000-0000-0000821C0000}"/>
    <cellStyle name="Percentuale 5 4 4" xfId="7681" xr:uid="{00000000-0005-0000-0000-0000831C0000}"/>
    <cellStyle name="Percentuale 5 4 5" xfId="7682" xr:uid="{00000000-0005-0000-0000-0000841C0000}"/>
    <cellStyle name="Percentuale 5 5" xfId="1671" xr:uid="{00000000-0005-0000-0000-0000851C0000}"/>
    <cellStyle name="Percentuale 5 5 2" xfId="7683" xr:uid="{00000000-0005-0000-0000-0000861C0000}"/>
    <cellStyle name="Percentuale 5 5 3" xfId="7684" xr:uid="{00000000-0005-0000-0000-0000871C0000}"/>
    <cellStyle name="Percentuale 5 6" xfId="1672" xr:uid="{00000000-0005-0000-0000-0000881C0000}"/>
    <cellStyle name="Percentuale 5 7" xfId="7685" xr:uid="{00000000-0005-0000-0000-0000891C0000}"/>
    <cellStyle name="Percentuale 50" xfId="1673" xr:uid="{00000000-0005-0000-0000-00008A1C0000}"/>
    <cellStyle name="Percentuale 50 2" xfId="1674" xr:uid="{00000000-0005-0000-0000-00008B1C0000}"/>
    <cellStyle name="Percentuale 50 2 2" xfId="4925" xr:uid="{00000000-0005-0000-0000-00008C1C0000}"/>
    <cellStyle name="Percentuale 50 2 3" xfId="7686" xr:uid="{00000000-0005-0000-0000-00008D1C0000}"/>
    <cellStyle name="Percentuale 50 2 4" xfId="7687" xr:uid="{00000000-0005-0000-0000-00008E1C0000}"/>
    <cellStyle name="Percentuale 50 3" xfId="1675" xr:uid="{00000000-0005-0000-0000-00008F1C0000}"/>
    <cellStyle name="Percentuale 50 3 2" xfId="1676" xr:uid="{00000000-0005-0000-0000-0000901C0000}"/>
    <cellStyle name="Percentuale 50 3 2 2" xfId="2983" xr:uid="{00000000-0005-0000-0000-0000911C0000}"/>
    <cellStyle name="Percentuale 50 3 2 3" xfId="2982" xr:uid="{00000000-0005-0000-0000-0000921C0000}"/>
    <cellStyle name="Percentuale 50 3 3" xfId="3847" xr:uid="{00000000-0005-0000-0000-0000931C0000}"/>
    <cellStyle name="Percentuale 50 3 3 2" xfId="4927" xr:uid="{00000000-0005-0000-0000-0000941C0000}"/>
    <cellStyle name="Percentuale 50 3 3 3" xfId="7688" xr:uid="{00000000-0005-0000-0000-0000951C0000}"/>
    <cellStyle name="Percentuale 50 3 3 4" xfId="7689" xr:uid="{00000000-0005-0000-0000-0000961C0000}"/>
    <cellStyle name="Percentuale 50 3 4" xfId="4926" xr:uid="{00000000-0005-0000-0000-0000971C0000}"/>
    <cellStyle name="Percentuale 50 3 5" xfId="7690" xr:uid="{00000000-0005-0000-0000-0000981C0000}"/>
    <cellStyle name="Percentuale 50 3 6" xfId="7691" xr:uid="{00000000-0005-0000-0000-0000991C0000}"/>
    <cellStyle name="Percentuale 50 4" xfId="1677" xr:uid="{00000000-0005-0000-0000-00009A1C0000}"/>
    <cellStyle name="Percentuale 50 4 2" xfId="2984" xr:uid="{00000000-0005-0000-0000-00009B1C0000}"/>
    <cellStyle name="Percentuale 50 4 2 2" xfId="4929" xr:uid="{00000000-0005-0000-0000-00009C1C0000}"/>
    <cellStyle name="Percentuale 50 4 3" xfId="4928" xr:uid="{00000000-0005-0000-0000-00009D1C0000}"/>
    <cellStyle name="Percentuale 50 4 4" xfId="7692" xr:uid="{00000000-0005-0000-0000-00009E1C0000}"/>
    <cellStyle name="Percentuale 50 4 5" xfId="7693" xr:uid="{00000000-0005-0000-0000-00009F1C0000}"/>
    <cellStyle name="Percentuale 50 5" xfId="1678" xr:uid="{00000000-0005-0000-0000-0000A01C0000}"/>
    <cellStyle name="Percentuale 50 5 2" xfId="7694" xr:uid="{00000000-0005-0000-0000-0000A11C0000}"/>
    <cellStyle name="Percentuale 50 5 3" xfId="7695" xr:uid="{00000000-0005-0000-0000-0000A21C0000}"/>
    <cellStyle name="Percentuale 50 6" xfId="1679" xr:uid="{00000000-0005-0000-0000-0000A31C0000}"/>
    <cellStyle name="Percentuale 50 7" xfId="7696" xr:uid="{00000000-0005-0000-0000-0000A41C0000}"/>
    <cellStyle name="Percentuale 51" xfId="1680" xr:uid="{00000000-0005-0000-0000-0000A51C0000}"/>
    <cellStyle name="Percentuale 51 2" xfId="1681" xr:uid="{00000000-0005-0000-0000-0000A61C0000}"/>
    <cellStyle name="Percentuale 51 2 2" xfId="4930" xr:uid="{00000000-0005-0000-0000-0000A71C0000}"/>
    <cellStyle name="Percentuale 51 2 3" xfId="7697" xr:uid="{00000000-0005-0000-0000-0000A81C0000}"/>
    <cellStyle name="Percentuale 51 2 4" xfId="7698" xr:uid="{00000000-0005-0000-0000-0000A91C0000}"/>
    <cellStyle name="Percentuale 51 3" xfId="1682" xr:uid="{00000000-0005-0000-0000-0000AA1C0000}"/>
    <cellStyle name="Percentuale 51 3 2" xfId="1683" xr:uid="{00000000-0005-0000-0000-0000AB1C0000}"/>
    <cellStyle name="Percentuale 51 3 2 2" xfId="2986" xr:uid="{00000000-0005-0000-0000-0000AC1C0000}"/>
    <cellStyle name="Percentuale 51 3 2 3" xfId="2985" xr:uid="{00000000-0005-0000-0000-0000AD1C0000}"/>
    <cellStyle name="Percentuale 51 3 3" xfId="3848" xr:uid="{00000000-0005-0000-0000-0000AE1C0000}"/>
    <cellStyle name="Percentuale 51 3 3 2" xfId="4932" xr:uid="{00000000-0005-0000-0000-0000AF1C0000}"/>
    <cellStyle name="Percentuale 51 3 3 3" xfId="7699" xr:uid="{00000000-0005-0000-0000-0000B01C0000}"/>
    <cellStyle name="Percentuale 51 3 3 4" xfId="7700" xr:uid="{00000000-0005-0000-0000-0000B11C0000}"/>
    <cellStyle name="Percentuale 51 3 4" xfId="4931" xr:uid="{00000000-0005-0000-0000-0000B21C0000}"/>
    <cellStyle name="Percentuale 51 3 5" xfId="7701" xr:uid="{00000000-0005-0000-0000-0000B31C0000}"/>
    <cellStyle name="Percentuale 51 3 6" xfId="7702" xr:uid="{00000000-0005-0000-0000-0000B41C0000}"/>
    <cellStyle name="Percentuale 51 4" xfId="1684" xr:uid="{00000000-0005-0000-0000-0000B51C0000}"/>
    <cellStyle name="Percentuale 51 4 2" xfId="2987" xr:uid="{00000000-0005-0000-0000-0000B61C0000}"/>
    <cellStyle name="Percentuale 51 4 2 2" xfId="4934" xr:uid="{00000000-0005-0000-0000-0000B71C0000}"/>
    <cellStyle name="Percentuale 51 4 3" xfId="4933" xr:uid="{00000000-0005-0000-0000-0000B81C0000}"/>
    <cellStyle name="Percentuale 51 4 4" xfId="7703" xr:uid="{00000000-0005-0000-0000-0000B91C0000}"/>
    <cellStyle name="Percentuale 51 4 5" xfId="7704" xr:uid="{00000000-0005-0000-0000-0000BA1C0000}"/>
    <cellStyle name="Percentuale 51 5" xfId="1685" xr:uid="{00000000-0005-0000-0000-0000BB1C0000}"/>
    <cellStyle name="Percentuale 51 5 2" xfId="7705" xr:uid="{00000000-0005-0000-0000-0000BC1C0000}"/>
    <cellStyle name="Percentuale 51 5 3" xfId="7706" xr:uid="{00000000-0005-0000-0000-0000BD1C0000}"/>
    <cellStyle name="Percentuale 51 6" xfId="1686" xr:uid="{00000000-0005-0000-0000-0000BE1C0000}"/>
    <cellStyle name="Percentuale 51 7" xfId="7707" xr:uid="{00000000-0005-0000-0000-0000BF1C0000}"/>
    <cellStyle name="Percentuale 52" xfId="1687" xr:uid="{00000000-0005-0000-0000-0000C01C0000}"/>
    <cellStyle name="Percentuale 52 2" xfId="1688" xr:uid="{00000000-0005-0000-0000-0000C11C0000}"/>
    <cellStyle name="Percentuale 52 2 2" xfId="4935" xr:uid="{00000000-0005-0000-0000-0000C21C0000}"/>
    <cellStyle name="Percentuale 52 2 3" xfId="7708" xr:uid="{00000000-0005-0000-0000-0000C31C0000}"/>
    <cellStyle name="Percentuale 52 2 4" xfId="7709" xr:uid="{00000000-0005-0000-0000-0000C41C0000}"/>
    <cellStyle name="Percentuale 52 3" xfId="1689" xr:uid="{00000000-0005-0000-0000-0000C51C0000}"/>
    <cellStyle name="Percentuale 52 3 2" xfId="1690" xr:uid="{00000000-0005-0000-0000-0000C61C0000}"/>
    <cellStyle name="Percentuale 52 3 2 2" xfId="2989" xr:uid="{00000000-0005-0000-0000-0000C71C0000}"/>
    <cellStyle name="Percentuale 52 3 2 3" xfId="2988" xr:uid="{00000000-0005-0000-0000-0000C81C0000}"/>
    <cellStyle name="Percentuale 52 3 3" xfId="3849" xr:uid="{00000000-0005-0000-0000-0000C91C0000}"/>
    <cellStyle name="Percentuale 52 3 3 2" xfId="4937" xr:uid="{00000000-0005-0000-0000-0000CA1C0000}"/>
    <cellStyle name="Percentuale 52 3 3 3" xfId="7710" xr:uid="{00000000-0005-0000-0000-0000CB1C0000}"/>
    <cellStyle name="Percentuale 52 3 3 4" xfId="7711" xr:uid="{00000000-0005-0000-0000-0000CC1C0000}"/>
    <cellStyle name="Percentuale 52 3 4" xfId="4936" xr:uid="{00000000-0005-0000-0000-0000CD1C0000}"/>
    <cellStyle name="Percentuale 52 3 5" xfId="7712" xr:uid="{00000000-0005-0000-0000-0000CE1C0000}"/>
    <cellStyle name="Percentuale 52 3 6" xfId="7713" xr:uid="{00000000-0005-0000-0000-0000CF1C0000}"/>
    <cellStyle name="Percentuale 52 4" xfId="1691" xr:uid="{00000000-0005-0000-0000-0000D01C0000}"/>
    <cellStyle name="Percentuale 52 4 2" xfId="2990" xr:uid="{00000000-0005-0000-0000-0000D11C0000}"/>
    <cellStyle name="Percentuale 52 4 2 2" xfId="4939" xr:uid="{00000000-0005-0000-0000-0000D21C0000}"/>
    <cellStyle name="Percentuale 52 4 3" xfId="4938" xr:uid="{00000000-0005-0000-0000-0000D31C0000}"/>
    <cellStyle name="Percentuale 52 4 4" xfId="7714" xr:uid="{00000000-0005-0000-0000-0000D41C0000}"/>
    <cellStyle name="Percentuale 52 4 5" xfId="7715" xr:uid="{00000000-0005-0000-0000-0000D51C0000}"/>
    <cellStyle name="Percentuale 52 5" xfId="1692" xr:uid="{00000000-0005-0000-0000-0000D61C0000}"/>
    <cellStyle name="Percentuale 52 5 2" xfId="7716" xr:uid="{00000000-0005-0000-0000-0000D71C0000}"/>
    <cellStyle name="Percentuale 52 5 3" xfId="7717" xr:uid="{00000000-0005-0000-0000-0000D81C0000}"/>
    <cellStyle name="Percentuale 52 6" xfId="1693" xr:uid="{00000000-0005-0000-0000-0000D91C0000}"/>
    <cellStyle name="Percentuale 52 7" xfId="7718" xr:uid="{00000000-0005-0000-0000-0000DA1C0000}"/>
    <cellStyle name="Percentuale 53" xfId="1694" xr:uid="{00000000-0005-0000-0000-0000DB1C0000}"/>
    <cellStyle name="Percentuale 53 2" xfId="1695" xr:uid="{00000000-0005-0000-0000-0000DC1C0000}"/>
    <cellStyle name="Percentuale 53 2 2" xfId="4940" xr:uid="{00000000-0005-0000-0000-0000DD1C0000}"/>
    <cellStyle name="Percentuale 53 2 3" xfId="7719" xr:uid="{00000000-0005-0000-0000-0000DE1C0000}"/>
    <cellStyle name="Percentuale 53 2 4" xfId="7720" xr:uid="{00000000-0005-0000-0000-0000DF1C0000}"/>
    <cellStyle name="Percentuale 53 3" xfId="1696" xr:uid="{00000000-0005-0000-0000-0000E01C0000}"/>
    <cellStyle name="Percentuale 53 3 2" xfId="1697" xr:uid="{00000000-0005-0000-0000-0000E11C0000}"/>
    <cellStyle name="Percentuale 53 3 2 2" xfId="2992" xr:uid="{00000000-0005-0000-0000-0000E21C0000}"/>
    <cellStyle name="Percentuale 53 3 2 3" xfId="2991" xr:uid="{00000000-0005-0000-0000-0000E31C0000}"/>
    <cellStyle name="Percentuale 53 3 3" xfId="3850" xr:uid="{00000000-0005-0000-0000-0000E41C0000}"/>
    <cellStyle name="Percentuale 53 3 3 2" xfId="4942" xr:uid="{00000000-0005-0000-0000-0000E51C0000}"/>
    <cellStyle name="Percentuale 53 3 3 3" xfId="7721" xr:uid="{00000000-0005-0000-0000-0000E61C0000}"/>
    <cellStyle name="Percentuale 53 3 3 4" xfId="7722" xr:uid="{00000000-0005-0000-0000-0000E71C0000}"/>
    <cellStyle name="Percentuale 53 3 4" xfId="4941" xr:uid="{00000000-0005-0000-0000-0000E81C0000}"/>
    <cellStyle name="Percentuale 53 3 5" xfId="7723" xr:uid="{00000000-0005-0000-0000-0000E91C0000}"/>
    <cellStyle name="Percentuale 53 3 6" xfId="7724" xr:uid="{00000000-0005-0000-0000-0000EA1C0000}"/>
    <cellStyle name="Percentuale 53 4" xfId="1698" xr:uid="{00000000-0005-0000-0000-0000EB1C0000}"/>
    <cellStyle name="Percentuale 53 4 2" xfId="2993" xr:uid="{00000000-0005-0000-0000-0000EC1C0000}"/>
    <cellStyle name="Percentuale 53 4 2 2" xfId="4944" xr:uid="{00000000-0005-0000-0000-0000ED1C0000}"/>
    <cellStyle name="Percentuale 53 4 3" xfId="4943" xr:uid="{00000000-0005-0000-0000-0000EE1C0000}"/>
    <cellStyle name="Percentuale 53 4 4" xfId="7725" xr:uid="{00000000-0005-0000-0000-0000EF1C0000}"/>
    <cellStyle name="Percentuale 53 4 5" xfId="7726" xr:uid="{00000000-0005-0000-0000-0000F01C0000}"/>
    <cellStyle name="Percentuale 53 5" xfId="1699" xr:uid="{00000000-0005-0000-0000-0000F11C0000}"/>
    <cellStyle name="Percentuale 53 5 2" xfId="7727" xr:uid="{00000000-0005-0000-0000-0000F21C0000}"/>
    <cellStyle name="Percentuale 53 5 3" xfId="7728" xr:uid="{00000000-0005-0000-0000-0000F31C0000}"/>
    <cellStyle name="Percentuale 53 6" xfId="1700" xr:uid="{00000000-0005-0000-0000-0000F41C0000}"/>
    <cellStyle name="Percentuale 53 7" xfId="7729" xr:uid="{00000000-0005-0000-0000-0000F51C0000}"/>
    <cellStyle name="Percentuale 54" xfId="1701" xr:uid="{00000000-0005-0000-0000-0000F61C0000}"/>
    <cellStyle name="Percentuale 54 2" xfId="1702" xr:uid="{00000000-0005-0000-0000-0000F71C0000}"/>
    <cellStyle name="Percentuale 54 2 2" xfId="4945" xr:uid="{00000000-0005-0000-0000-0000F81C0000}"/>
    <cellStyle name="Percentuale 54 2 3" xfId="7730" xr:uid="{00000000-0005-0000-0000-0000F91C0000}"/>
    <cellStyle name="Percentuale 54 2 4" xfId="7731" xr:uid="{00000000-0005-0000-0000-0000FA1C0000}"/>
    <cellStyle name="Percentuale 54 3" xfId="1703" xr:uid="{00000000-0005-0000-0000-0000FB1C0000}"/>
    <cellStyle name="Percentuale 54 3 2" xfId="1704" xr:uid="{00000000-0005-0000-0000-0000FC1C0000}"/>
    <cellStyle name="Percentuale 54 3 2 2" xfId="2995" xr:uid="{00000000-0005-0000-0000-0000FD1C0000}"/>
    <cellStyle name="Percentuale 54 3 2 3" xfId="2994" xr:uid="{00000000-0005-0000-0000-0000FE1C0000}"/>
    <cellStyle name="Percentuale 54 3 3" xfId="3851" xr:uid="{00000000-0005-0000-0000-0000FF1C0000}"/>
    <cellStyle name="Percentuale 54 3 3 2" xfId="4947" xr:uid="{00000000-0005-0000-0000-0000001D0000}"/>
    <cellStyle name="Percentuale 54 3 3 3" xfId="7732" xr:uid="{00000000-0005-0000-0000-0000011D0000}"/>
    <cellStyle name="Percentuale 54 3 3 4" xfId="7733" xr:uid="{00000000-0005-0000-0000-0000021D0000}"/>
    <cellStyle name="Percentuale 54 3 4" xfId="4946" xr:uid="{00000000-0005-0000-0000-0000031D0000}"/>
    <cellStyle name="Percentuale 54 3 5" xfId="7734" xr:uid="{00000000-0005-0000-0000-0000041D0000}"/>
    <cellStyle name="Percentuale 54 3 6" xfId="7735" xr:uid="{00000000-0005-0000-0000-0000051D0000}"/>
    <cellStyle name="Percentuale 54 4" xfId="1705" xr:uid="{00000000-0005-0000-0000-0000061D0000}"/>
    <cellStyle name="Percentuale 54 4 2" xfId="2996" xr:uid="{00000000-0005-0000-0000-0000071D0000}"/>
    <cellStyle name="Percentuale 54 4 2 2" xfId="4949" xr:uid="{00000000-0005-0000-0000-0000081D0000}"/>
    <cellStyle name="Percentuale 54 4 3" xfId="4948" xr:uid="{00000000-0005-0000-0000-0000091D0000}"/>
    <cellStyle name="Percentuale 54 4 4" xfId="7736" xr:uid="{00000000-0005-0000-0000-00000A1D0000}"/>
    <cellStyle name="Percentuale 54 4 5" xfId="7737" xr:uid="{00000000-0005-0000-0000-00000B1D0000}"/>
    <cellStyle name="Percentuale 54 5" xfId="1706" xr:uid="{00000000-0005-0000-0000-00000C1D0000}"/>
    <cellStyle name="Percentuale 54 5 2" xfId="7738" xr:uid="{00000000-0005-0000-0000-00000D1D0000}"/>
    <cellStyle name="Percentuale 54 5 3" xfId="7739" xr:uid="{00000000-0005-0000-0000-00000E1D0000}"/>
    <cellStyle name="Percentuale 54 6" xfId="1707" xr:uid="{00000000-0005-0000-0000-00000F1D0000}"/>
    <cellStyle name="Percentuale 54 7" xfId="7740" xr:uid="{00000000-0005-0000-0000-0000101D0000}"/>
    <cellStyle name="Percentuale 55" xfId="1708" xr:uid="{00000000-0005-0000-0000-0000111D0000}"/>
    <cellStyle name="Percentuale 55 2" xfId="1709" xr:uid="{00000000-0005-0000-0000-0000121D0000}"/>
    <cellStyle name="Percentuale 55 2 2" xfId="4950" xr:uid="{00000000-0005-0000-0000-0000131D0000}"/>
    <cellStyle name="Percentuale 55 2 3" xfId="7741" xr:uid="{00000000-0005-0000-0000-0000141D0000}"/>
    <cellStyle name="Percentuale 55 2 4" xfId="7742" xr:uid="{00000000-0005-0000-0000-0000151D0000}"/>
    <cellStyle name="Percentuale 55 3" xfId="1710" xr:uid="{00000000-0005-0000-0000-0000161D0000}"/>
    <cellStyle name="Percentuale 55 3 2" xfId="1711" xr:uid="{00000000-0005-0000-0000-0000171D0000}"/>
    <cellStyle name="Percentuale 55 3 2 2" xfId="2998" xr:uid="{00000000-0005-0000-0000-0000181D0000}"/>
    <cellStyle name="Percentuale 55 3 2 3" xfId="2997" xr:uid="{00000000-0005-0000-0000-0000191D0000}"/>
    <cellStyle name="Percentuale 55 3 3" xfId="3852" xr:uid="{00000000-0005-0000-0000-00001A1D0000}"/>
    <cellStyle name="Percentuale 55 3 3 2" xfId="4952" xr:uid="{00000000-0005-0000-0000-00001B1D0000}"/>
    <cellStyle name="Percentuale 55 3 3 3" xfId="7743" xr:uid="{00000000-0005-0000-0000-00001C1D0000}"/>
    <cellStyle name="Percentuale 55 3 3 4" xfId="7744" xr:uid="{00000000-0005-0000-0000-00001D1D0000}"/>
    <cellStyle name="Percentuale 55 3 4" xfId="4951" xr:uid="{00000000-0005-0000-0000-00001E1D0000}"/>
    <cellStyle name="Percentuale 55 3 5" xfId="7745" xr:uid="{00000000-0005-0000-0000-00001F1D0000}"/>
    <cellStyle name="Percentuale 55 3 6" xfId="7746" xr:uid="{00000000-0005-0000-0000-0000201D0000}"/>
    <cellStyle name="Percentuale 55 4" xfId="1712" xr:uid="{00000000-0005-0000-0000-0000211D0000}"/>
    <cellStyle name="Percentuale 55 4 2" xfId="2999" xr:uid="{00000000-0005-0000-0000-0000221D0000}"/>
    <cellStyle name="Percentuale 55 4 2 2" xfId="4954" xr:uid="{00000000-0005-0000-0000-0000231D0000}"/>
    <cellStyle name="Percentuale 55 4 3" xfId="4953" xr:uid="{00000000-0005-0000-0000-0000241D0000}"/>
    <cellStyle name="Percentuale 55 4 4" xfId="7747" xr:uid="{00000000-0005-0000-0000-0000251D0000}"/>
    <cellStyle name="Percentuale 55 4 5" xfId="7748" xr:uid="{00000000-0005-0000-0000-0000261D0000}"/>
    <cellStyle name="Percentuale 55 5" xfId="1713" xr:uid="{00000000-0005-0000-0000-0000271D0000}"/>
    <cellStyle name="Percentuale 55 5 2" xfId="7749" xr:uid="{00000000-0005-0000-0000-0000281D0000}"/>
    <cellStyle name="Percentuale 55 5 3" xfId="7750" xr:uid="{00000000-0005-0000-0000-0000291D0000}"/>
    <cellStyle name="Percentuale 55 6" xfId="1714" xr:uid="{00000000-0005-0000-0000-00002A1D0000}"/>
    <cellStyle name="Percentuale 55 7" xfId="7751" xr:uid="{00000000-0005-0000-0000-00002B1D0000}"/>
    <cellStyle name="Percentuale 56" xfId="1715" xr:uid="{00000000-0005-0000-0000-00002C1D0000}"/>
    <cellStyle name="Percentuale 56 2" xfId="1716" xr:uid="{00000000-0005-0000-0000-00002D1D0000}"/>
    <cellStyle name="Percentuale 56 2 2" xfId="4955" xr:uid="{00000000-0005-0000-0000-00002E1D0000}"/>
    <cellStyle name="Percentuale 56 2 3" xfId="7752" xr:uid="{00000000-0005-0000-0000-00002F1D0000}"/>
    <cellStyle name="Percentuale 56 2 4" xfId="7753" xr:uid="{00000000-0005-0000-0000-0000301D0000}"/>
    <cellStyle name="Percentuale 56 3" xfId="1717" xr:uid="{00000000-0005-0000-0000-0000311D0000}"/>
    <cellStyle name="Percentuale 56 3 2" xfId="1718" xr:uid="{00000000-0005-0000-0000-0000321D0000}"/>
    <cellStyle name="Percentuale 56 3 2 2" xfId="3001" xr:uid="{00000000-0005-0000-0000-0000331D0000}"/>
    <cellStyle name="Percentuale 56 3 2 3" xfId="3000" xr:uid="{00000000-0005-0000-0000-0000341D0000}"/>
    <cellStyle name="Percentuale 56 3 3" xfId="3853" xr:uid="{00000000-0005-0000-0000-0000351D0000}"/>
    <cellStyle name="Percentuale 56 3 3 2" xfId="4957" xr:uid="{00000000-0005-0000-0000-0000361D0000}"/>
    <cellStyle name="Percentuale 56 3 3 3" xfId="7754" xr:uid="{00000000-0005-0000-0000-0000371D0000}"/>
    <cellStyle name="Percentuale 56 3 3 4" xfId="7755" xr:uid="{00000000-0005-0000-0000-0000381D0000}"/>
    <cellStyle name="Percentuale 56 3 4" xfId="4956" xr:uid="{00000000-0005-0000-0000-0000391D0000}"/>
    <cellStyle name="Percentuale 56 3 5" xfId="7756" xr:uid="{00000000-0005-0000-0000-00003A1D0000}"/>
    <cellStyle name="Percentuale 56 3 6" xfId="7757" xr:uid="{00000000-0005-0000-0000-00003B1D0000}"/>
    <cellStyle name="Percentuale 56 4" xfId="1719" xr:uid="{00000000-0005-0000-0000-00003C1D0000}"/>
    <cellStyle name="Percentuale 56 4 2" xfId="3002" xr:uid="{00000000-0005-0000-0000-00003D1D0000}"/>
    <cellStyle name="Percentuale 56 4 2 2" xfId="4959" xr:uid="{00000000-0005-0000-0000-00003E1D0000}"/>
    <cellStyle name="Percentuale 56 4 3" xfId="4958" xr:uid="{00000000-0005-0000-0000-00003F1D0000}"/>
    <cellStyle name="Percentuale 56 4 4" xfId="7758" xr:uid="{00000000-0005-0000-0000-0000401D0000}"/>
    <cellStyle name="Percentuale 56 4 5" xfId="7759" xr:uid="{00000000-0005-0000-0000-0000411D0000}"/>
    <cellStyle name="Percentuale 56 5" xfId="1720" xr:uid="{00000000-0005-0000-0000-0000421D0000}"/>
    <cellStyle name="Percentuale 56 5 2" xfId="7760" xr:uid="{00000000-0005-0000-0000-0000431D0000}"/>
    <cellStyle name="Percentuale 56 5 3" xfId="7761" xr:uid="{00000000-0005-0000-0000-0000441D0000}"/>
    <cellStyle name="Percentuale 56 6" xfId="1721" xr:uid="{00000000-0005-0000-0000-0000451D0000}"/>
    <cellStyle name="Percentuale 56 7" xfId="7762" xr:uid="{00000000-0005-0000-0000-0000461D0000}"/>
    <cellStyle name="Percentuale 57" xfId="1722" xr:uid="{00000000-0005-0000-0000-0000471D0000}"/>
    <cellStyle name="Percentuale 57 2" xfId="1723" xr:uid="{00000000-0005-0000-0000-0000481D0000}"/>
    <cellStyle name="Percentuale 57 2 2" xfId="4960" xr:uid="{00000000-0005-0000-0000-0000491D0000}"/>
    <cellStyle name="Percentuale 57 2 3" xfId="7763" xr:uid="{00000000-0005-0000-0000-00004A1D0000}"/>
    <cellStyle name="Percentuale 57 2 4" xfId="7764" xr:uid="{00000000-0005-0000-0000-00004B1D0000}"/>
    <cellStyle name="Percentuale 57 3" xfId="1724" xr:uid="{00000000-0005-0000-0000-00004C1D0000}"/>
    <cellStyle name="Percentuale 57 3 2" xfId="1725" xr:uid="{00000000-0005-0000-0000-00004D1D0000}"/>
    <cellStyle name="Percentuale 57 3 2 2" xfId="3004" xr:uid="{00000000-0005-0000-0000-00004E1D0000}"/>
    <cellStyle name="Percentuale 57 3 2 3" xfId="3003" xr:uid="{00000000-0005-0000-0000-00004F1D0000}"/>
    <cellStyle name="Percentuale 57 3 3" xfId="3854" xr:uid="{00000000-0005-0000-0000-0000501D0000}"/>
    <cellStyle name="Percentuale 57 3 3 2" xfId="4962" xr:uid="{00000000-0005-0000-0000-0000511D0000}"/>
    <cellStyle name="Percentuale 57 3 3 3" xfId="7765" xr:uid="{00000000-0005-0000-0000-0000521D0000}"/>
    <cellStyle name="Percentuale 57 3 3 4" xfId="7766" xr:uid="{00000000-0005-0000-0000-0000531D0000}"/>
    <cellStyle name="Percentuale 57 3 4" xfId="4961" xr:uid="{00000000-0005-0000-0000-0000541D0000}"/>
    <cellStyle name="Percentuale 57 3 5" xfId="7767" xr:uid="{00000000-0005-0000-0000-0000551D0000}"/>
    <cellStyle name="Percentuale 57 3 6" xfId="7768" xr:uid="{00000000-0005-0000-0000-0000561D0000}"/>
    <cellStyle name="Percentuale 57 4" xfId="1726" xr:uid="{00000000-0005-0000-0000-0000571D0000}"/>
    <cellStyle name="Percentuale 57 4 2" xfId="3005" xr:uid="{00000000-0005-0000-0000-0000581D0000}"/>
    <cellStyle name="Percentuale 57 4 2 2" xfId="4964" xr:uid="{00000000-0005-0000-0000-0000591D0000}"/>
    <cellStyle name="Percentuale 57 4 3" xfId="4963" xr:uid="{00000000-0005-0000-0000-00005A1D0000}"/>
    <cellStyle name="Percentuale 57 4 4" xfId="7769" xr:uid="{00000000-0005-0000-0000-00005B1D0000}"/>
    <cellStyle name="Percentuale 57 4 5" xfId="7770" xr:uid="{00000000-0005-0000-0000-00005C1D0000}"/>
    <cellStyle name="Percentuale 57 5" xfId="1727" xr:uid="{00000000-0005-0000-0000-00005D1D0000}"/>
    <cellStyle name="Percentuale 57 5 2" xfId="7771" xr:uid="{00000000-0005-0000-0000-00005E1D0000}"/>
    <cellStyle name="Percentuale 57 5 3" xfId="7772" xr:uid="{00000000-0005-0000-0000-00005F1D0000}"/>
    <cellStyle name="Percentuale 57 6" xfId="1728" xr:uid="{00000000-0005-0000-0000-0000601D0000}"/>
    <cellStyle name="Percentuale 57 7" xfId="7773" xr:uid="{00000000-0005-0000-0000-0000611D0000}"/>
    <cellStyle name="Percentuale 58" xfId="1729" xr:uid="{00000000-0005-0000-0000-0000621D0000}"/>
    <cellStyle name="Percentuale 58 2" xfId="1730" xr:uid="{00000000-0005-0000-0000-0000631D0000}"/>
    <cellStyle name="Percentuale 58 2 2" xfId="4965" xr:uid="{00000000-0005-0000-0000-0000641D0000}"/>
    <cellStyle name="Percentuale 58 2 3" xfId="7774" xr:uid="{00000000-0005-0000-0000-0000651D0000}"/>
    <cellStyle name="Percentuale 58 2 4" xfId="7775" xr:uid="{00000000-0005-0000-0000-0000661D0000}"/>
    <cellStyle name="Percentuale 58 3" xfId="1731" xr:uid="{00000000-0005-0000-0000-0000671D0000}"/>
    <cellStyle name="Percentuale 58 3 2" xfId="1732" xr:uid="{00000000-0005-0000-0000-0000681D0000}"/>
    <cellStyle name="Percentuale 58 3 2 2" xfId="3007" xr:uid="{00000000-0005-0000-0000-0000691D0000}"/>
    <cellStyle name="Percentuale 58 3 2 3" xfId="3006" xr:uid="{00000000-0005-0000-0000-00006A1D0000}"/>
    <cellStyle name="Percentuale 58 3 3" xfId="3855" xr:uid="{00000000-0005-0000-0000-00006B1D0000}"/>
    <cellStyle name="Percentuale 58 3 3 2" xfId="4967" xr:uid="{00000000-0005-0000-0000-00006C1D0000}"/>
    <cellStyle name="Percentuale 58 3 3 3" xfId="7776" xr:uid="{00000000-0005-0000-0000-00006D1D0000}"/>
    <cellStyle name="Percentuale 58 3 3 4" xfId="7777" xr:uid="{00000000-0005-0000-0000-00006E1D0000}"/>
    <cellStyle name="Percentuale 58 3 4" xfId="4966" xr:uid="{00000000-0005-0000-0000-00006F1D0000}"/>
    <cellStyle name="Percentuale 58 3 5" xfId="7778" xr:uid="{00000000-0005-0000-0000-0000701D0000}"/>
    <cellStyle name="Percentuale 58 3 6" xfId="7779" xr:uid="{00000000-0005-0000-0000-0000711D0000}"/>
    <cellStyle name="Percentuale 58 4" xfId="1733" xr:uid="{00000000-0005-0000-0000-0000721D0000}"/>
    <cellStyle name="Percentuale 58 4 2" xfId="3008" xr:uid="{00000000-0005-0000-0000-0000731D0000}"/>
    <cellStyle name="Percentuale 58 4 2 2" xfId="4969" xr:uid="{00000000-0005-0000-0000-0000741D0000}"/>
    <cellStyle name="Percentuale 58 4 3" xfId="4968" xr:uid="{00000000-0005-0000-0000-0000751D0000}"/>
    <cellStyle name="Percentuale 58 4 4" xfId="7780" xr:uid="{00000000-0005-0000-0000-0000761D0000}"/>
    <cellStyle name="Percentuale 58 4 5" xfId="7781" xr:uid="{00000000-0005-0000-0000-0000771D0000}"/>
    <cellStyle name="Percentuale 58 5" xfId="1734" xr:uid="{00000000-0005-0000-0000-0000781D0000}"/>
    <cellStyle name="Percentuale 58 5 2" xfId="7782" xr:uid="{00000000-0005-0000-0000-0000791D0000}"/>
    <cellStyle name="Percentuale 58 5 3" xfId="7783" xr:uid="{00000000-0005-0000-0000-00007A1D0000}"/>
    <cellStyle name="Percentuale 58 6" xfId="1735" xr:uid="{00000000-0005-0000-0000-00007B1D0000}"/>
    <cellStyle name="Percentuale 58 7" xfId="7784" xr:uid="{00000000-0005-0000-0000-00007C1D0000}"/>
    <cellStyle name="Percentuale 59" xfId="1736" xr:uid="{00000000-0005-0000-0000-00007D1D0000}"/>
    <cellStyle name="Percentuale 59 2" xfId="1737" xr:uid="{00000000-0005-0000-0000-00007E1D0000}"/>
    <cellStyle name="Percentuale 59 2 2" xfId="4970" xr:uid="{00000000-0005-0000-0000-00007F1D0000}"/>
    <cellStyle name="Percentuale 59 2 3" xfId="7785" xr:uid="{00000000-0005-0000-0000-0000801D0000}"/>
    <cellStyle name="Percentuale 59 2 4" xfId="7786" xr:uid="{00000000-0005-0000-0000-0000811D0000}"/>
    <cellStyle name="Percentuale 59 3" xfId="1738" xr:uid="{00000000-0005-0000-0000-0000821D0000}"/>
    <cellStyle name="Percentuale 59 3 2" xfId="1739" xr:uid="{00000000-0005-0000-0000-0000831D0000}"/>
    <cellStyle name="Percentuale 59 3 2 2" xfId="3010" xr:uid="{00000000-0005-0000-0000-0000841D0000}"/>
    <cellStyle name="Percentuale 59 3 2 3" xfId="3009" xr:uid="{00000000-0005-0000-0000-0000851D0000}"/>
    <cellStyle name="Percentuale 59 3 3" xfId="3856" xr:uid="{00000000-0005-0000-0000-0000861D0000}"/>
    <cellStyle name="Percentuale 59 3 3 2" xfId="4972" xr:uid="{00000000-0005-0000-0000-0000871D0000}"/>
    <cellStyle name="Percentuale 59 3 3 3" xfId="7787" xr:uid="{00000000-0005-0000-0000-0000881D0000}"/>
    <cellStyle name="Percentuale 59 3 3 4" xfId="7788" xr:uid="{00000000-0005-0000-0000-0000891D0000}"/>
    <cellStyle name="Percentuale 59 3 4" xfId="4971" xr:uid="{00000000-0005-0000-0000-00008A1D0000}"/>
    <cellStyle name="Percentuale 59 3 5" xfId="7789" xr:uid="{00000000-0005-0000-0000-00008B1D0000}"/>
    <cellStyle name="Percentuale 59 3 6" xfId="7790" xr:uid="{00000000-0005-0000-0000-00008C1D0000}"/>
    <cellStyle name="Percentuale 59 4" xfId="1740" xr:uid="{00000000-0005-0000-0000-00008D1D0000}"/>
    <cellStyle name="Percentuale 59 4 2" xfId="3011" xr:uid="{00000000-0005-0000-0000-00008E1D0000}"/>
    <cellStyle name="Percentuale 59 4 2 2" xfId="4974" xr:uid="{00000000-0005-0000-0000-00008F1D0000}"/>
    <cellStyle name="Percentuale 59 4 3" xfId="4973" xr:uid="{00000000-0005-0000-0000-0000901D0000}"/>
    <cellStyle name="Percentuale 59 4 4" xfId="7791" xr:uid="{00000000-0005-0000-0000-0000911D0000}"/>
    <cellStyle name="Percentuale 59 4 5" xfId="7792" xr:uid="{00000000-0005-0000-0000-0000921D0000}"/>
    <cellStyle name="Percentuale 59 5" xfId="1741" xr:uid="{00000000-0005-0000-0000-0000931D0000}"/>
    <cellStyle name="Percentuale 59 5 2" xfId="7793" xr:uid="{00000000-0005-0000-0000-0000941D0000}"/>
    <cellStyle name="Percentuale 59 5 3" xfId="7794" xr:uid="{00000000-0005-0000-0000-0000951D0000}"/>
    <cellStyle name="Percentuale 59 6" xfId="1742" xr:uid="{00000000-0005-0000-0000-0000961D0000}"/>
    <cellStyle name="Percentuale 59 7" xfId="7795" xr:uid="{00000000-0005-0000-0000-0000971D0000}"/>
    <cellStyle name="Percentuale 6" xfId="1743" xr:uid="{00000000-0005-0000-0000-0000981D0000}"/>
    <cellStyle name="Percentuale 6 2" xfId="1744" xr:uid="{00000000-0005-0000-0000-0000991D0000}"/>
    <cellStyle name="Percentuale 6 2 2" xfId="4975" xr:uid="{00000000-0005-0000-0000-00009A1D0000}"/>
    <cellStyle name="Percentuale 6 2 3" xfId="7796" xr:uid="{00000000-0005-0000-0000-00009B1D0000}"/>
    <cellStyle name="Percentuale 6 2 4" xfId="7797" xr:uid="{00000000-0005-0000-0000-00009C1D0000}"/>
    <cellStyle name="Percentuale 6 3" xfId="1745" xr:uid="{00000000-0005-0000-0000-00009D1D0000}"/>
    <cellStyle name="Percentuale 6 3 2" xfId="1746" xr:uid="{00000000-0005-0000-0000-00009E1D0000}"/>
    <cellStyle name="Percentuale 6 3 2 2" xfId="3013" xr:uid="{00000000-0005-0000-0000-00009F1D0000}"/>
    <cellStyle name="Percentuale 6 3 2 3" xfId="3012" xr:uid="{00000000-0005-0000-0000-0000A01D0000}"/>
    <cellStyle name="Percentuale 6 3 3" xfId="3857" xr:uid="{00000000-0005-0000-0000-0000A11D0000}"/>
    <cellStyle name="Percentuale 6 3 3 2" xfId="4977" xr:uid="{00000000-0005-0000-0000-0000A21D0000}"/>
    <cellStyle name="Percentuale 6 3 3 3" xfId="7798" xr:uid="{00000000-0005-0000-0000-0000A31D0000}"/>
    <cellStyle name="Percentuale 6 3 3 4" xfId="7799" xr:uid="{00000000-0005-0000-0000-0000A41D0000}"/>
    <cellStyle name="Percentuale 6 3 4" xfId="4976" xr:uid="{00000000-0005-0000-0000-0000A51D0000}"/>
    <cellStyle name="Percentuale 6 3 5" xfId="7800" xr:uid="{00000000-0005-0000-0000-0000A61D0000}"/>
    <cellStyle name="Percentuale 6 3 6" xfId="7801" xr:uid="{00000000-0005-0000-0000-0000A71D0000}"/>
    <cellStyle name="Percentuale 6 4" xfId="1747" xr:uid="{00000000-0005-0000-0000-0000A81D0000}"/>
    <cellStyle name="Percentuale 6 4 2" xfId="3014" xr:uid="{00000000-0005-0000-0000-0000A91D0000}"/>
    <cellStyle name="Percentuale 6 4 2 2" xfId="4979" xr:uid="{00000000-0005-0000-0000-0000AA1D0000}"/>
    <cellStyle name="Percentuale 6 4 3" xfId="4978" xr:uid="{00000000-0005-0000-0000-0000AB1D0000}"/>
    <cellStyle name="Percentuale 6 4 4" xfId="7802" xr:uid="{00000000-0005-0000-0000-0000AC1D0000}"/>
    <cellStyle name="Percentuale 6 4 5" xfId="7803" xr:uid="{00000000-0005-0000-0000-0000AD1D0000}"/>
    <cellStyle name="Percentuale 6 5" xfId="1748" xr:uid="{00000000-0005-0000-0000-0000AE1D0000}"/>
    <cellStyle name="Percentuale 6 5 2" xfId="7804" xr:uid="{00000000-0005-0000-0000-0000AF1D0000}"/>
    <cellStyle name="Percentuale 6 5 3" xfId="7805" xr:uid="{00000000-0005-0000-0000-0000B01D0000}"/>
    <cellStyle name="Percentuale 6 6" xfId="1749" xr:uid="{00000000-0005-0000-0000-0000B11D0000}"/>
    <cellStyle name="Percentuale 6 7" xfId="7806" xr:uid="{00000000-0005-0000-0000-0000B21D0000}"/>
    <cellStyle name="Percentuale 60" xfId="1750" xr:uid="{00000000-0005-0000-0000-0000B31D0000}"/>
    <cellStyle name="Percentuale 60 2" xfId="1751" xr:uid="{00000000-0005-0000-0000-0000B41D0000}"/>
    <cellStyle name="Percentuale 60 2 2" xfId="4980" xr:uid="{00000000-0005-0000-0000-0000B51D0000}"/>
    <cellStyle name="Percentuale 60 2 3" xfId="7807" xr:uid="{00000000-0005-0000-0000-0000B61D0000}"/>
    <cellStyle name="Percentuale 60 2 4" xfId="7808" xr:uid="{00000000-0005-0000-0000-0000B71D0000}"/>
    <cellStyle name="Percentuale 60 3" xfId="1752" xr:uid="{00000000-0005-0000-0000-0000B81D0000}"/>
    <cellStyle name="Percentuale 60 3 2" xfId="1753" xr:uid="{00000000-0005-0000-0000-0000B91D0000}"/>
    <cellStyle name="Percentuale 60 3 2 2" xfId="3016" xr:uid="{00000000-0005-0000-0000-0000BA1D0000}"/>
    <cellStyle name="Percentuale 60 3 2 3" xfId="3015" xr:uid="{00000000-0005-0000-0000-0000BB1D0000}"/>
    <cellStyle name="Percentuale 60 3 3" xfId="3858" xr:uid="{00000000-0005-0000-0000-0000BC1D0000}"/>
    <cellStyle name="Percentuale 60 3 3 2" xfId="4982" xr:uid="{00000000-0005-0000-0000-0000BD1D0000}"/>
    <cellStyle name="Percentuale 60 3 3 3" xfId="7809" xr:uid="{00000000-0005-0000-0000-0000BE1D0000}"/>
    <cellStyle name="Percentuale 60 3 3 4" xfId="7810" xr:uid="{00000000-0005-0000-0000-0000BF1D0000}"/>
    <cellStyle name="Percentuale 60 3 4" xfId="4981" xr:uid="{00000000-0005-0000-0000-0000C01D0000}"/>
    <cellStyle name="Percentuale 60 3 5" xfId="7811" xr:uid="{00000000-0005-0000-0000-0000C11D0000}"/>
    <cellStyle name="Percentuale 60 3 6" xfId="7812" xr:uid="{00000000-0005-0000-0000-0000C21D0000}"/>
    <cellStyle name="Percentuale 60 4" xfId="1754" xr:uid="{00000000-0005-0000-0000-0000C31D0000}"/>
    <cellStyle name="Percentuale 60 4 2" xfId="3017" xr:uid="{00000000-0005-0000-0000-0000C41D0000}"/>
    <cellStyle name="Percentuale 60 4 2 2" xfId="4984" xr:uid="{00000000-0005-0000-0000-0000C51D0000}"/>
    <cellStyle name="Percentuale 60 4 3" xfId="4983" xr:uid="{00000000-0005-0000-0000-0000C61D0000}"/>
    <cellStyle name="Percentuale 60 4 4" xfId="7813" xr:uid="{00000000-0005-0000-0000-0000C71D0000}"/>
    <cellStyle name="Percentuale 60 4 5" xfId="7814" xr:uid="{00000000-0005-0000-0000-0000C81D0000}"/>
    <cellStyle name="Percentuale 60 5" xfId="1755" xr:uid="{00000000-0005-0000-0000-0000C91D0000}"/>
    <cellStyle name="Percentuale 60 5 2" xfId="7815" xr:uid="{00000000-0005-0000-0000-0000CA1D0000}"/>
    <cellStyle name="Percentuale 60 5 3" xfId="7816" xr:uid="{00000000-0005-0000-0000-0000CB1D0000}"/>
    <cellStyle name="Percentuale 60 6" xfId="1756" xr:uid="{00000000-0005-0000-0000-0000CC1D0000}"/>
    <cellStyle name="Percentuale 60 7" xfId="7817" xr:uid="{00000000-0005-0000-0000-0000CD1D0000}"/>
    <cellStyle name="Percentuale 61" xfId="1757" xr:uid="{00000000-0005-0000-0000-0000CE1D0000}"/>
    <cellStyle name="Percentuale 61 2" xfId="1758" xr:uid="{00000000-0005-0000-0000-0000CF1D0000}"/>
    <cellStyle name="Percentuale 61 2 2" xfId="4985" xr:uid="{00000000-0005-0000-0000-0000D01D0000}"/>
    <cellStyle name="Percentuale 61 2 3" xfId="7818" xr:uid="{00000000-0005-0000-0000-0000D11D0000}"/>
    <cellStyle name="Percentuale 61 2 4" xfId="7819" xr:uid="{00000000-0005-0000-0000-0000D21D0000}"/>
    <cellStyle name="Percentuale 61 3" xfId="1759" xr:uid="{00000000-0005-0000-0000-0000D31D0000}"/>
    <cellStyle name="Percentuale 61 3 2" xfId="1760" xr:uid="{00000000-0005-0000-0000-0000D41D0000}"/>
    <cellStyle name="Percentuale 61 3 2 2" xfId="3019" xr:uid="{00000000-0005-0000-0000-0000D51D0000}"/>
    <cellStyle name="Percentuale 61 3 2 3" xfId="3018" xr:uid="{00000000-0005-0000-0000-0000D61D0000}"/>
    <cellStyle name="Percentuale 61 3 3" xfId="3859" xr:uid="{00000000-0005-0000-0000-0000D71D0000}"/>
    <cellStyle name="Percentuale 61 3 3 2" xfId="4987" xr:uid="{00000000-0005-0000-0000-0000D81D0000}"/>
    <cellStyle name="Percentuale 61 3 3 3" xfId="7820" xr:uid="{00000000-0005-0000-0000-0000D91D0000}"/>
    <cellStyle name="Percentuale 61 3 3 4" xfId="7821" xr:uid="{00000000-0005-0000-0000-0000DA1D0000}"/>
    <cellStyle name="Percentuale 61 3 4" xfId="4986" xr:uid="{00000000-0005-0000-0000-0000DB1D0000}"/>
    <cellStyle name="Percentuale 61 3 5" xfId="7822" xr:uid="{00000000-0005-0000-0000-0000DC1D0000}"/>
    <cellStyle name="Percentuale 61 3 6" xfId="7823" xr:uid="{00000000-0005-0000-0000-0000DD1D0000}"/>
    <cellStyle name="Percentuale 61 4" xfId="1761" xr:uid="{00000000-0005-0000-0000-0000DE1D0000}"/>
    <cellStyle name="Percentuale 61 4 2" xfId="3020" xr:uid="{00000000-0005-0000-0000-0000DF1D0000}"/>
    <cellStyle name="Percentuale 61 4 2 2" xfId="4989" xr:uid="{00000000-0005-0000-0000-0000E01D0000}"/>
    <cellStyle name="Percentuale 61 4 3" xfId="4988" xr:uid="{00000000-0005-0000-0000-0000E11D0000}"/>
    <cellStyle name="Percentuale 61 4 4" xfId="7824" xr:uid="{00000000-0005-0000-0000-0000E21D0000}"/>
    <cellStyle name="Percentuale 61 4 5" xfId="7825" xr:uid="{00000000-0005-0000-0000-0000E31D0000}"/>
    <cellStyle name="Percentuale 61 5" xfId="1762" xr:uid="{00000000-0005-0000-0000-0000E41D0000}"/>
    <cellStyle name="Percentuale 61 5 2" xfId="7826" xr:uid="{00000000-0005-0000-0000-0000E51D0000}"/>
    <cellStyle name="Percentuale 61 5 3" xfId="7827" xr:uid="{00000000-0005-0000-0000-0000E61D0000}"/>
    <cellStyle name="Percentuale 61 6" xfId="1763" xr:uid="{00000000-0005-0000-0000-0000E71D0000}"/>
    <cellStyle name="Percentuale 61 7" xfId="7828" xr:uid="{00000000-0005-0000-0000-0000E81D0000}"/>
    <cellStyle name="Percentuale 62" xfId="1764" xr:uid="{00000000-0005-0000-0000-0000E91D0000}"/>
    <cellStyle name="Percentuale 62 2" xfId="3021" xr:uid="{00000000-0005-0000-0000-0000EA1D0000}"/>
    <cellStyle name="Percentuale 62 3" xfId="7829" xr:uid="{00000000-0005-0000-0000-0000EB1D0000}"/>
    <cellStyle name="Percentuale 62 4" xfId="7830" xr:uid="{00000000-0005-0000-0000-0000EC1D0000}"/>
    <cellStyle name="Percentuale 63" xfId="1765" xr:uid="{00000000-0005-0000-0000-0000ED1D0000}"/>
    <cellStyle name="Percentuale 63 2" xfId="3022" xr:uid="{00000000-0005-0000-0000-0000EE1D0000}"/>
    <cellStyle name="Percentuale 63 3" xfId="7831" xr:uid="{00000000-0005-0000-0000-0000EF1D0000}"/>
    <cellStyle name="Percentuale 63 4" xfId="7832" xr:uid="{00000000-0005-0000-0000-0000F01D0000}"/>
    <cellStyle name="Percentuale 64" xfId="1766" xr:uid="{00000000-0005-0000-0000-0000F11D0000}"/>
    <cellStyle name="Percentuale 64 2" xfId="3023" xr:uid="{00000000-0005-0000-0000-0000F21D0000}"/>
    <cellStyle name="Percentuale 64 3" xfId="7833" xr:uid="{00000000-0005-0000-0000-0000F31D0000}"/>
    <cellStyle name="Percentuale 64 4" xfId="7834" xr:uid="{00000000-0005-0000-0000-0000F41D0000}"/>
    <cellStyle name="Percentuale 65" xfId="1767" xr:uid="{00000000-0005-0000-0000-0000F51D0000}"/>
    <cellStyle name="Percentuale 65 2" xfId="3024" xr:uid="{00000000-0005-0000-0000-0000F61D0000}"/>
    <cellStyle name="Percentuale 65 3" xfId="7835" xr:uid="{00000000-0005-0000-0000-0000F71D0000}"/>
    <cellStyle name="Percentuale 65 4" xfId="7836" xr:uid="{00000000-0005-0000-0000-0000F81D0000}"/>
    <cellStyle name="Percentuale 66" xfId="1768" xr:uid="{00000000-0005-0000-0000-0000F91D0000}"/>
    <cellStyle name="Percentuale 66 2" xfId="3025" xr:uid="{00000000-0005-0000-0000-0000FA1D0000}"/>
    <cellStyle name="Percentuale 66 3" xfId="7837" xr:uid="{00000000-0005-0000-0000-0000FB1D0000}"/>
    <cellStyle name="Percentuale 66 4" xfId="7838" xr:uid="{00000000-0005-0000-0000-0000FC1D0000}"/>
    <cellStyle name="Percentuale 67" xfId="1769" xr:uid="{00000000-0005-0000-0000-0000FD1D0000}"/>
    <cellStyle name="Percentuale 67 2" xfId="3026" xr:uid="{00000000-0005-0000-0000-0000FE1D0000}"/>
    <cellStyle name="Percentuale 67 3" xfId="7839" xr:uid="{00000000-0005-0000-0000-0000FF1D0000}"/>
    <cellStyle name="Percentuale 67 4" xfId="7840" xr:uid="{00000000-0005-0000-0000-0000001E0000}"/>
    <cellStyle name="Percentuale 68" xfId="1770" xr:uid="{00000000-0005-0000-0000-0000011E0000}"/>
    <cellStyle name="Percentuale 68 2" xfId="1771" xr:uid="{00000000-0005-0000-0000-0000021E0000}"/>
    <cellStyle name="Percentuale 68 2 2" xfId="4990" xr:uid="{00000000-0005-0000-0000-0000031E0000}"/>
    <cellStyle name="Percentuale 68 2 3" xfId="7841" xr:uid="{00000000-0005-0000-0000-0000041E0000}"/>
    <cellStyle name="Percentuale 68 2 4" xfId="7842" xr:uid="{00000000-0005-0000-0000-0000051E0000}"/>
    <cellStyle name="Percentuale 68 3" xfId="1772" xr:uid="{00000000-0005-0000-0000-0000061E0000}"/>
    <cellStyle name="Percentuale 68 3 2" xfId="1773" xr:uid="{00000000-0005-0000-0000-0000071E0000}"/>
    <cellStyle name="Percentuale 68 3 2 2" xfId="3028" xr:uid="{00000000-0005-0000-0000-0000081E0000}"/>
    <cellStyle name="Percentuale 68 3 2 3" xfId="3027" xr:uid="{00000000-0005-0000-0000-0000091E0000}"/>
    <cellStyle name="Percentuale 68 3 3" xfId="3860" xr:uid="{00000000-0005-0000-0000-00000A1E0000}"/>
    <cellStyle name="Percentuale 68 3 3 2" xfId="4992" xr:uid="{00000000-0005-0000-0000-00000B1E0000}"/>
    <cellStyle name="Percentuale 68 3 3 3" xfId="7843" xr:uid="{00000000-0005-0000-0000-00000C1E0000}"/>
    <cellStyle name="Percentuale 68 3 3 4" xfId="7844" xr:uid="{00000000-0005-0000-0000-00000D1E0000}"/>
    <cellStyle name="Percentuale 68 3 4" xfId="4991" xr:uid="{00000000-0005-0000-0000-00000E1E0000}"/>
    <cellStyle name="Percentuale 68 3 5" xfId="7845" xr:uid="{00000000-0005-0000-0000-00000F1E0000}"/>
    <cellStyle name="Percentuale 68 3 6" xfId="7846" xr:uid="{00000000-0005-0000-0000-0000101E0000}"/>
    <cellStyle name="Percentuale 68 4" xfId="1774" xr:uid="{00000000-0005-0000-0000-0000111E0000}"/>
    <cellStyle name="Percentuale 68 4 2" xfId="3029" xr:uid="{00000000-0005-0000-0000-0000121E0000}"/>
    <cellStyle name="Percentuale 68 4 2 2" xfId="4994" xr:uid="{00000000-0005-0000-0000-0000131E0000}"/>
    <cellStyle name="Percentuale 68 4 3" xfId="4993" xr:uid="{00000000-0005-0000-0000-0000141E0000}"/>
    <cellStyle name="Percentuale 68 4 4" xfId="7847" xr:uid="{00000000-0005-0000-0000-0000151E0000}"/>
    <cellStyle name="Percentuale 68 4 5" xfId="7848" xr:uid="{00000000-0005-0000-0000-0000161E0000}"/>
    <cellStyle name="Percentuale 68 5" xfId="1775" xr:uid="{00000000-0005-0000-0000-0000171E0000}"/>
    <cellStyle name="Percentuale 68 5 2" xfId="7849" xr:uid="{00000000-0005-0000-0000-0000181E0000}"/>
    <cellStyle name="Percentuale 68 5 3" xfId="7850" xr:uid="{00000000-0005-0000-0000-0000191E0000}"/>
    <cellStyle name="Percentuale 68 6" xfId="1776" xr:uid="{00000000-0005-0000-0000-00001A1E0000}"/>
    <cellStyle name="Percentuale 68 7" xfId="7851" xr:uid="{00000000-0005-0000-0000-00001B1E0000}"/>
    <cellStyle name="Percentuale 69" xfId="1777" xr:uid="{00000000-0005-0000-0000-00001C1E0000}"/>
    <cellStyle name="Percentuale 69 2" xfId="1778" xr:uid="{00000000-0005-0000-0000-00001D1E0000}"/>
    <cellStyle name="Percentuale 69 2 2" xfId="4995" xr:uid="{00000000-0005-0000-0000-00001E1E0000}"/>
    <cellStyle name="Percentuale 69 2 3" xfId="7852" xr:uid="{00000000-0005-0000-0000-00001F1E0000}"/>
    <cellStyle name="Percentuale 69 2 4" xfId="7853" xr:uid="{00000000-0005-0000-0000-0000201E0000}"/>
    <cellStyle name="Percentuale 69 3" xfId="1779" xr:uid="{00000000-0005-0000-0000-0000211E0000}"/>
    <cellStyle name="Percentuale 69 3 2" xfId="1780" xr:uid="{00000000-0005-0000-0000-0000221E0000}"/>
    <cellStyle name="Percentuale 69 3 2 2" xfId="3031" xr:uid="{00000000-0005-0000-0000-0000231E0000}"/>
    <cellStyle name="Percentuale 69 3 2 3" xfId="3030" xr:uid="{00000000-0005-0000-0000-0000241E0000}"/>
    <cellStyle name="Percentuale 69 3 3" xfId="3861" xr:uid="{00000000-0005-0000-0000-0000251E0000}"/>
    <cellStyle name="Percentuale 69 3 3 2" xfId="4997" xr:uid="{00000000-0005-0000-0000-0000261E0000}"/>
    <cellStyle name="Percentuale 69 3 3 3" xfId="7854" xr:uid="{00000000-0005-0000-0000-0000271E0000}"/>
    <cellStyle name="Percentuale 69 3 3 4" xfId="7855" xr:uid="{00000000-0005-0000-0000-0000281E0000}"/>
    <cellStyle name="Percentuale 69 3 4" xfId="4996" xr:uid="{00000000-0005-0000-0000-0000291E0000}"/>
    <cellStyle name="Percentuale 69 3 5" xfId="7856" xr:uid="{00000000-0005-0000-0000-00002A1E0000}"/>
    <cellStyle name="Percentuale 69 3 6" xfId="7857" xr:uid="{00000000-0005-0000-0000-00002B1E0000}"/>
    <cellStyle name="Percentuale 69 4" xfId="1781" xr:uid="{00000000-0005-0000-0000-00002C1E0000}"/>
    <cellStyle name="Percentuale 69 4 2" xfId="3032" xr:uid="{00000000-0005-0000-0000-00002D1E0000}"/>
    <cellStyle name="Percentuale 69 4 2 2" xfId="4999" xr:uid="{00000000-0005-0000-0000-00002E1E0000}"/>
    <cellStyle name="Percentuale 69 4 3" xfId="4998" xr:uid="{00000000-0005-0000-0000-00002F1E0000}"/>
    <cellStyle name="Percentuale 69 4 4" xfId="7858" xr:uid="{00000000-0005-0000-0000-0000301E0000}"/>
    <cellStyle name="Percentuale 69 4 5" xfId="7859" xr:uid="{00000000-0005-0000-0000-0000311E0000}"/>
    <cellStyle name="Percentuale 69 5" xfId="1782" xr:uid="{00000000-0005-0000-0000-0000321E0000}"/>
    <cellStyle name="Percentuale 69 5 2" xfId="7860" xr:uid="{00000000-0005-0000-0000-0000331E0000}"/>
    <cellStyle name="Percentuale 69 5 3" xfId="7861" xr:uid="{00000000-0005-0000-0000-0000341E0000}"/>
    <cellStyle name="Percentuale 69 6" xfId="1783" xr:uid="{00000000-0005-0000-0000-0000351E0000}"/>
    <cellStyle name="Percentuale 69 7" xfId="7862" xr:uid="{00000000-0005-0000-0000-0000361E0000}"/>
    <cellStyle name="Percentuale 7" xfId="1784" xr:uid="{00000000-0005-0000-0000-0000371E0000}"/>
    <cellStyle name="Percentuale 7 2" xfId="1785" xr:uid="{00000000-0005-0000-0000-0000381E0000}"/>
    <cellStyle name="Percentuale 7 2 2" xfId="5000" xr:uid="{00000000-0005-0000-0000-0000391E0000}"/>
    <cellStyle name="Percentuale 7 2 3" xfId="7863" xr:uid="{00000000-0005-0000-0000-00003A1E0000}"/>
    <cellStyle name="Percentuale 7 2 4" xfId="7864" xr:uid="{00000000-0005-0000-0000-00003B1E0000}"/>
    <cellStyle name="Percentuale 7 3" xfId="1786" xr:uid="{00000000-0005-0000-0000-00003C1E0000}"/>
    <cellStyle name="Percentuale 7 3 2" xfId="1787" xr:uid="{00000000-0005-0000-0000-00003D1E0000}"/>
    <cellStyle name="Percentuale 7 3 2 2" xfId="3034" xr:uid="{00000000-0005-0000-0000-00003E1E0000}"/>
    <cellStyle name="Percentuale 7 3 2 3" xfId="3033" xr:uid="{00000000-0005-0000-0000-00003F1E0000}"/>
    <cellStyle name="Percentuale 7 3 3" xfId="3862" xr:uid="{00000000-0005-0000-0000-0000401E0000}"/>
    <cellStyle name="Percentuale 7 3 3 2" xfId="5002" xr:uid="{00000000-0005-0000-0000-0000411E0000}"/>
    <cellStyle name="Percentuale 7 3 3 3" xfId="7865" xr:uid="{00000000-0005-0000-0000-0000421E0000}"/>
    <cellStyle name="Percentuale 7 3 3 4" xfId="7866" xr:uid="{00000000-0005-0000-0000-0000431E0000}"/>
    <cellStyle name="Percentuale 7 3 4" xfId="5001" xr:uid="{00000000-0005-0000-0000-0000441E0000}"/>
    <cellStyle name="Percentuale 7 3 5" xfId="7867" xr:uid="{00000000-0005-0000-0000-0000451E0000}"/>
    <cellStyle name="Percentuale 7 3 6" xfId="7868" xr:uid="{00000000-0005-0000-0000-0000461E0000}"/>
    <cellStyle name="Percentuale 7 4" xfId="1788" xr:uid="{00000000-0005-0000-0000-0000471E0000}"/>
    <cellStyle name="Percentuale 7 4 2" xfId="3035" xr:uid="{00000000-0005-0000-0000-0000481E0000}"/>
    <cellStyle name="Percentuale 7 4 2 2" xfId="5004" xr:uid="{00000000-0005-0000-0000-0000491E0000}"/>
    <cellStyle name="Percentuale 7 4 3" xfId="5003" xr:uid="{00000000-0005-0000-0000-00004A1E0000}"/>
    <cellStyle name="Percentuale 7 4 4" xfId="7869" xr:uid="{00000000-0005-0000-0000-00004B1E0000}"/>
    <cellStyle name="Percentuale 7 4 5" xfId="7870" xr:uid="{00000000-0005-0000-0000-00004C1E0000}"/>
    <cellStyle name="Percentuale 7 5" xfId="1789" xr:uid="{00000000-0005-0000-0000-00004D1E0000}"/>
    <cellStyle name="Percentuale 7 5 2" xfId="7871" xr:uid="{00000000-0005-0000-0000-00004E1E0000}"/>
    <cellStyle name="Percentuale 7 5 3" xfId="7872" xr:uid="{00000000-0005-0000-0000-00004F1E0000}"/>
    <cellStyle name="Percentuale 7 6" xfId="1790" xr:uid="{00000000-0005-0000-0000-0000501E0000}"/>
    <cellStyle name="Percentuale 7 7" xfId="7873" xr:uid="{00000000-0005-0000-0000-0000511E0000}"/>
    <cellStyle name="Percentuale 8" xfId="1791" xr:uid="{00000000-0005-0000-0000-0000521E0000}"/>
    <cellStyle name="Percentuale 8 2" xfId="1792" xr:uid="{00000000-0005-0000-0000-0000531E0000}"/>
    <cellStyle name="Percentuale 8 2 2" xfId="5005" xr:uid="{00000000-0005-0000-0000-0000541E0000}"/>
    <cellStyle name="Percentuale 8 2 3" xfId="7874" xr:uid="{00000000-0005-0000-0000-0000551E0000}"/>
    <cellStyle name="Percentuale 8 2 4" xfId="7875" xr:uid="{00000000-0005-0000-0000-0000561E0000}"/>
    <cellStyle name="Percentuale 8 3" xfId="1793" xr:uid="{00000000-0005-0000-0000-0000571E0000}"/>
    <cellStyle name="Percentuale 8 3 2" xfId="1794" xr:uid="{00000000-0005-0000-0000-0000581E0000}"/>
    <cellStyle name="Percentuale 8 3 2 2" xfId="3037" xr:uid="{00000000-0005-0000-0000-0000591E0000}"/>
    <cellStyle name="Percentuale 8 3 2 3" xfId="3036" xr:uid="{00000000-0005-0000-0000-00005A1E0000}"/>
    <cellStyle name="Percentuale 8 3 3" xfId="3863" xr:uid="{00000000-0005-0000-0000-00005B1E0000}"/>
    <cellStyle name="Percentuale 8 3 3 2" xfId="5007" xr:uid="{00000000-0005-0000-0000-00005C1E0000}"/>
    <cellStyle name="Percentuale 8 3 3 3" xfId="7876" xr:uid="{00000000-0005-0000-0000-00005D1E0000}"/>
    <cellStyle name="Percentuale 8 3 3 4" xfId="7877" xr:uid="{00000000-0005-0000-0000-00005E1E0000}"/>
    <cellStyle name="Percentuale 8 3 4" xfId="5006" xr:uid="{00000000-0005-0000-0000-00005F1E0000}"/>
    <cellStyle name="Percentuale 8 3 5" xfId="7878" xr:uid="{00000000-0005-0000-0000-0000601E0000}"/>
    <cellStyle name="Percentuale 8 3 6" xfId="7879" xr:uid="{00000000-0005-0000-0000-0000611E0000}"/>
    <cellStyle name="Percentuale 8 4" xfId="1795" xr:uid="{00000000-0005-0000-0000-0000621E0000}"/>
    <cellStyle name="Percentuale 8 4 2" xfId="3038" xr:uid="{00000000-0005-0000-0000-0000631E0000}"/>
    <cellStyle name="Percentuale 8 4 2 2" xfId="5009" xr:uid="{00000000-0005-0000-0000-0000641E0000}"/>
    <cellStyle name="Percentuale 8 4 3" xfId="5008" xr:uid="{00000000-0005-0000-0000-0000651E0000}"/>
    <cellStyle name="Percentuale 8 4 4" xfId="7880" xr:uid="{00000000-0005-0000-0000-0000661E0000}"/>
    <cellStyle name="Percentuale 8 4 5" xfId="7881" xr:uid="{00000000-0005-0000-0000-0000671E0000}"/>
    <cellStyle name="Percentuale 8 5" xfId="1796" xr:uid="{00000000-0005-0000-0000-0000681E0000}"/>
    <cellStyle name="Percentuale 8 5 2" xfId="7882" xr:uid="{00000000-0005-0000-0000-0000691E0000}"/>
    <cellStyle name="Percentuale 8 5 3" xfId="7883" xr:uid="{00000000-0005-0000-0000-00006A1E0000}"/>
    <cellStyle name="Percentuale 8 6" xfId="1797" xr:uid="{00000000-0005-0000-0000-00006B1E0000}"/>
    <cellStyle name="Percentuale 8 7" xfId="7884" xr:uid="{00000000-0005-0000-0000-00006C1E0000}"/>
    <cellStyle name="Percentuale 9" xfId="1798" xr:uid="{00000000-0005-0000-0000-00006D1E0000}"/>
    <cellStyle name="Percentuale 9 2" xfId="1799" xr:uid="{00000000-0005-0000-0000-00006E1E0000}"/>
    <cellStyle name="Percentuale 9 2 2" xfId="5010" xr:uid="{00000000-0005-0000-0000-00006F1E0000}"/>
    <cellStyle name="Percentuale 9 2 3" xfId="7885" xr:uid="{00000000-0005-0000-0000-0000701E0000}"/>
    <cellStyle name="Percentuale 9 2 4" xfId="7886" xr:uid="{00000000-0005-0000-0000-0000711E0000}"/>
    <cellStyle name="Percentuale 9 3" xfId="1800" xr:uid="{00000000-0005-0000-0000-0000721E0000}"/>
    <cellStyle name="Percentuale 9 3 2" xfId="1801" xr:uid="{00000000-0005-0000-0000-0000731E0000}"/>
    <cellStyle name="Percentuale 9 3 2 2" xfId="3040" xr:uid="{00000000-0005-0000-0000-0000741E0000}"/>
    <cellStyle name="Percentuale 9 3 2 3" xfId="3039" xr:uid="{00000000-0005-0000-0000-0000751E0000}"/>
    <cellStyle name="Percentuale 9 3 3" xfId="3864" xr:uid="{00000000-0005-0000-0000-0000761E0000}"/>
    <cellStyle name="Percentuale 9 3 3 2" xfId="5012" xr:uid="{00000000-0005-0000-0000-0000771E0000}"/>
    <cellStyle name="Percentuale 9 3 3 3" xfId="7887" xr:uid="{00000000-0005-0000-0000-0000781E0000}"/>
    <cellStyle name="Percentuale 9 3 3 4" xfId="7888" xr:uid="{00000000-0005-0000-0000-0000791E0000}"/>
    <cellStyle name="Percentuale 9 3 4" xfId="5011" xr:uid="{00000000-0005-0000-0000-00007A1E0000}"/>
    <cellStyle name="Percentuale 9 3 5" xfId="7889" xr:uid="{00000000-0005-0000-0000-00007B1E0000}"/>
    <cellStyle name="Percentuale 9 3 6" xfId="7890" xr:uid="{00000000-0005-0000-0000-00007C1E0000}"/>
    <cellStyle name="Percentuale 9 4" xfId="1802" xr:uid="{00000000-0005-0000-0000-00007D1E0000}"/>
    <cellStyle name="Percentuale 9 4 2" xfId="3041" xr:uid="{00000000-0005-0000-0000-00007E1E0000}"/>
    <cellStyle name="Percentuale 9 4 2 2" xfId="5014" xr:uid="{00000000-0005-0000-0000-00007F1E0000}"/>
    <cellStyle name="Percentuale 9 4 3" xfId="5013" xr:uid="{00000000-0005-0000-0000-0000801E0000}"/>
    <cellStyle name="Percentuale 9 4 4" xfId="7891" xr:uid="{00000000-0005-0000-0000-0000811E0000}"/>
    <cellStyle name="Percentuale 9 4 5" xfId="7892" xr:uid="{00000000-0005-0000-0000-0000821E0000}"/>
    <cellStyle name="Percentuale 9 5" xfId="1803" xr:uid="{00000000-0005-0000-0000-0000831E0000}"/>
    <cellStyle name="Percentuale 9 5 2" xfId="7893" xr:uid="{00000000-0005-0000-0000-0000841E0000}"/>
    <cellStyle name="Percentuale 9 5 3" xfId="7894" xr:uid="{00000000-0005-0000-0000-0000851E0000}"/>
    <cellStyle name="Percentuale 9 6" xfId="1804" xr:uid="{00000000-0005-0000-0000-0000861E0000}"/>
    <cellStyle name="Percentuale 9 7" xfId="7895" xr:uid="{00000000-0005-0000-0000-0000871E0000}"/>
    <cellStyle name="Procent 10" xfId="7896" xr:uid="{00000000-0005-0000-0000-0000881E0000}"/>
    <cellStyle name="Procent 10 2" xfId="7897" xr:uid="{00000000-0005-0000-0000-0000891E0000}"/>
    <cellStyle name="Procent 10 2 2" xfId="7898" xr:uid="{00000000-0005-0000-0000-00008A1E0000}"/>
    <cellStyle name="Procent 10 3" xfId="7899" xr:uid="{00000000-0005-0000-0000-00008B1E0000}"/>
    <cellStyle name="Procent 10 3 2" xfId="7900" xr:uid="{00000000-0005-0000-0000-00008C1E0000}"/>
    <cellStyle name="Procent 10 4" xfId="7901" xr:uid="{00000000-0005-0000-0000-00008D1E0000}"/>
    <cellStyle name="Procent 10 4 2" xfId="7902" xr:uid="{00000000-0005-0000-0000-00008E1E0000}"/>
    <cellStyle name="Procent 10 5" xfId="7903" xr:uid="{00000000-0005-0000-0000-00008F1E0000}"/>
    <cellStyle name="Procent 11" xfId="7904" xr:uid="{00000000-0005-0000-0000-0000901E0000}"/>
    <cellStyle name="Procent 11 2" xfId="7905" xr:uid="{00000000-0005-0000-0000-0000911E0000}"/>
    <cellStyle name="Procent 12" xfId="7906" xr:uid="{00000000-0005-0000-0000-0000921E0000}"/>
    <cellStyle name="Procent 12 2" xfId="7907" xr:uid="{00000000-0005-0000-0000-0000931E0000}"/>
    <cellStyle name="Procent 13" xfId="7908" xr:uid="{00000000-0005-0000-0000-0000941E0000}"/>
    <cellStyle name="Procent 2" xfId="1805" xr:uid="{00000000-0005-0000-0000-0000951E0000}"/>
    <cellStyle name="Procent 2 10" xfId="7909" xr:uid="{00000000-0005-0000-0000-0000961E0000}"/>
    <cellStyle name="Procent 2 10 2" xfId="7910" xr:uid="{00000000-0005-0000-0000-0000971E0000}"/>
    <cellStyle name="Procent 2 10 2 2" xfId="7911" xr:uid="{00000000-0005-0000-0000-0000981E0000}"/>
    <cellStyle name="Procent 2 10 3" xfId="7912" xr:uid="{00000000-0005-0000-0000-0000991E0000}"/>
    <cellStyle name="Procent 2 11" xfId="7913" xr:uid="{00000000-0005-0000-0000-00009A1E0000}"/>
    <cellStyle name="Procent 2 11 2" xfId="7914" xr:uid="{00000000-0005-0000-0000-00009B1E0000}"/>
    <cellStyle name="Procent 2 12" xfId="7915" xr:uid="{00000000-0005-0000-0000-00009C1E0000}"/>
    <cellStyle name="Procent 2 12 2" xfId="7916" xr:uid="{00000000-0005-0000-0000-00009D1E0000}"/>
    <cellStyle name="Procent 2 13" xfId="7917" xr:uid="{00000000-0005-0000-0000-00009E1E0000}"/>
    <cellStyle name="Procent 2 13 2" xfId="7918" xr:uid="{00000000-0005-0000-0000-00009F1E0000}"/>
    <cellStyle name="Procent 2 14" xfId="7919" xr:uid="{00000000-0005-0000-0000-0000A01E0000}"/>
    <cellStyle name="Procent 2 14 2" xfId="7920" xr:uid="{00000000-0005-0000-0000-0000A11E0000}"/>
    <cellStyle name="Procent 2 15" xfId="7921" xr:uid="{00000000-0005-0000-0000-0000A21E0000}"/>
    <cellStyle name="Procent 2 16" xfId="7922" xr:uid="{00000000-0005-0000-0000-0000A31E0000}"/>
    <cellStyle name="Procent 2 17" xfId="7923" xr:uid="{00000000-0005-0000-0000-0000A41E0000}"/>
    <cellStyle name="Procent 2 18" xfId="7924" xr:uid="{00000000-0005-0000-0000-0000A51E0000}"/>
    <cellStyle name="Procent 2 2" xfId="3042" xr:uid="{00000000-0005-0000-0000-0000A61E0000}"/>
    <cellStyle name="Procent 2 2 10" xfId="7925" xr:uid="{00000000-0005-0000-0000-0000A71E0000}"/>
    <cellStyle name="Procent 2 2 11" xfId="7926" xr:uid="{00000000-0005-0000-0000-0000A81E0000}"/>
    <cellStyle name="Procent 2 2 12" xfId="7927" xr:uid="{00000000-0005-0000-0000-0000A91E0000}"/>
    <cellStyle name="Procent 2 2 2" xfId="3043" xr:uid="{00000000-0005-0000-0000-0000AA1E0000}"/>
    <cellStyle name="Procent 2 2 2 2" xfId="7928" xr:uid="{00000000-0005-0000-0000-0000AB1E0000}"/>
    <cellStyle name="Procent 2 2 2 2 2" xfId="7929" xr:uid="{00000000-0005-0000-0000-0000AC1E0000}"/>
    <cellStyle name="Procent 2 2 2 3" xfId="7930" xr:uid="{00000000-0005-0000-0000-0000AD1E0000}"/>
    <cellStyle name="Procent 2 2 2 3 2" xfId="7931" xr:uid="{00000000-0005-0000-0000-0000AE1E0000}"/>
    <cellStyle name="Procent 2 2 2 4" xfId="7932" xr:uid="{00000000-0005-0000-0000-0000AF1E0000}"/>
    <cellStyle name="Procent 2 2 2 4 2" xfId="7933" xr:uid="{00000000-0005-0000-0000-0000B01E0000}"/>
    <cellStyle name="Procent 2 2 2 5" xfId="7934" xr:uid="{00000000-0005-0000-0000-0000B11E0000}"/>
    <cellStyle name="Procent 2 2 2 5 2" xfId="7935" xr:uid="{00000000-0005-0000-0000-0000B21E0000}"/>
    <cellStyle name="Procent 2 2 2 6" xfId="7936" xr:uid="{00000000-0005-0000-0000-0000B31E0000}"/>
    <cellStyle name="Procent 2 2 3" xfId="5015" xr:uid="{00000000-0005-0000-0000-0000B41E0000}"/>
    <cellStyle name="Procent 2 2 3 2" xfId="7937" xr:uid="{00000000-0005-0000-0000-0000B51E0000}"/>
    <cellStyle name="Procent 2 2 3 2 2" xfId="7938" xr:uid="{00000000-0005-0000-0000-0000B61E0000}"/>
    <cellStyle name="Procent 2 2 3 3" xfId="7939" xr:uid="{00000000-0005-0000-0000-0000B71E0000}"/>
    <cellStyle name="Procent 2 2 4" xfId="7940" xr:uid="{00000000-0005-0000-0000-0000B81E0000}"/>
    <cellStyle name="Procent 2 2 4 2" xfId="7941" xr:uid="{00000000-0005-0000-0000-0000B91E0000}"/>
    <cellStyle name="Procent 2 2 5" xfId="7942" xr:uid="{00000000-0005-0000-0000-0000BA1E0000}"/>
    <cellStyle name="Procent 2 2 5 2" xfId="7943" xr:uid="{00000000-0005-0000-0000-0000BB1E0000}"/>
    <cellStyle name="Procent 2 2 6" xfId="7944" xr:uid="{00000000-0005-0000-0000-0000BC1E0000}"/>
    <cellStyle name="Procent 2 2 6 2" xfId="7945" xr:uid="{00000000-0005-0000-0000-0000BD1E0000}"/>
    <cellStyle name="Procent 2 2 7" xfId="7946" xr:uid="{00000000-0005-0000-0000-0000BE1E0000}"/>
    <cellStyle name="Procent 2 2 7 2" xfId="7947" xr:uid="{00000000-0005-0000-0000-0000BF1E0000}"/>
    <cellStyle name="Procent 2 2 8" xfId="7948" xr:uid="{00000000-0005-0000-0000-0000C01E0000}"/>
    <cellStyle name="Procent 2 2 9" xfId="7949" xr:uid="{00000000-0005-0000-0000-0000C11E0000}"/>
    <cellStyle name="Procent 2 3" xfId="7950" xr:uid="{00000000-0005-0000-0000-0000C21E0000}"/>
    <cellStyle name="Procent 2 3 2" xfId="7951" xr:uid="{00000000-0005-0000-0000-0000C31E0000}"/>
    <cellStyle name="Procent 2 3 2 2" xfId="7952" xr:uid="{00000000-0005-0000-0000-0000C41E0000}"/>
    <cellStyle name="Procent 2 3 2 2 2" xfId="7953" xr:uid="{00000000-0005-0000-0000-0000C51E0000}"/>
    <cellStyle name="Procent 2 3 2 3" xfId="7954" xr:uid="{00000000-0005-0000-0000-0000C61E0000}"/>
    <cellStyle name="Procent 2 3 2 3 2" xfId="7955" xr:uid="{00000000-0005-0000-0000-0000C71E0000}"/>
    <cellStyle name="Procent 2 3 2 4" xfId="7956" xr:uid="{00000000-0005-0000-0000-0000C81E0000}"/>
    <cellStyle name="Procent 2 3 3" xfId="7957" xr:uid="{00000000-0005-0000-0000-0000C91E0000}"/>
    <cellStyle name="Procent 2 3 3 2" xfId="7958" xr:uid="{00000000-0005-0000-0000-0000CA1E0000}"/>
    <cellStyle name="Procent 2 3 4" xfId="7959" xr:uid="{00000000-0005-0000-0000-0000CB1E0000}"/>
    <cellStyle name="Procent 2 3 4 2" xfId="7960" xr:uid="{00000000-0005-0000-0000-0000CC1E0000}"/>
    <cellStyle name="Procent 2 3 5" xfId="7961" xr:uid="{00000000-0005-0000-0000-0000CD1E0000}"/>
    <cellStyle name="Procent 2 3 5 2" xfId="7962" xr:uid="{00000000-0005-0000-0000-0000CE1E0000}"/>
    <cellStyle name="Procent 2 3 6" xfId="7963" xr:uid="{00000000-0005-0000-0000-0000CF1E0000}"/>
    <cellStyle name="Procent 2 3 6 2" xfId="7964" xr:uid="{00000000-0005-0000-0000-0000D01E0000}"/>
    <cellStyle name="Procent 2 3 7" xfId="7965" xr:uid="{00000000-0005-0000-0000-0000D11E0000}"/>
    <cellStyle name="Procent 2 3 7 2" xfId="7966" xr:uid="{00000000-0005-0000-0000-0000D21E0000}"/>
    <cellStyle name="Procent 2 3 8" xfId="7967" xr:uid="{00000000-0005-0000-0000-0000D31E0000}"/>
    <cellStyle name="Procent 2 4" xfId="7968" xr:uid="{00000000-0005-0000-0000-0000D41E0000}"/>
    <cellStyle name="Procent 2 4 2" xfId="7969" xr:uid="{00000000-0005-0000-0000-0000D51E0000}"/>
    <cellStyle name="Procent 2 4 2 2" xfId="7970" xr:uid="{00000000-0005-0000-0000-0000D61E0000}"/>
    <cellStyle name="Procent 2 4 2 2 2" xfId="7971" xr:uid="{00000000-0005-0000-0000-0000D71E0000}"/>
    <cellStyle name="Procent 2 4 2 3" xfId="7972" xr:uid="{00000000-0005-0000-0000-0000D81E0000}"/>
    <cellStyle name="Procent 2 4 2 3 2" xfId="7973" xr:uid="{00000000-0005-0000-0000-0000D91E0000}"/>
    <cellStyle name="Procent 2 4 2 4" xfId="7974" xr:uid="{00000000-0005-0000-0000-0000DA1E0000}"/>
    <cellStyle name="Procent 2 4 3" xfId="7975" xr:uid="{00000000-0005-0000-0000-0000DB1E0000}"/>
    <cellStyle name="Procent 2 4 3 2" xfId="7976" xr:uid="{00000000-0005-0000-0000-0000DC1E0000}"/>
    <cellStyle name="Procent 2 4 4" xfId="7977" xr:uid="{00000000-0005-0000-0000-0000DD1E0000}"/>
    <cellStyle name="Procent 2 4 4 2" xfId="7978" xr:uid="{00000000-0005-0000-0000-0000DE1E0000}"/>
    <cellStyle name="Procent 2 4 5" xfId="7979" xr:uid="{00000000-0005-0000-0000-0000DF1E0000}"/>
    <cellStyle name="Procent 2 4 5 2" xfId="7980" xr:uid="{00000000-0005-0000-0000-0000E01E0000}"/>
    <cellStyle name="Procent 2 4 6" xfId="7981" xr:uid="{00000000-0005-0000-0000-0000E11E0000}"/>
    <cellStyle name="Procent 2 4 6 2" xfId="7982" xr:uid="{00000000-0005-0000-0000-0000E21E0000}"/>
    <cellStyle name="Procent 2 4 7" xfId="7983" xr:uid="{00000000-0005-0000-0000-0000E31E0000}"/>
    <cellStyle name="Procent 2 4 7 2" xfId="7984" xr:uid="{00000000-0005-0000-0000-0000E41E0000}"/>
    <cellStyle name="Procent 2 4 8" xfId="7985" xr:uid="{00000000-0005-0000-0000-0000E51E0000}"/>
    <cellStyle name="Procent 2 5" xfId="7986" xr:uid="{00000000-0005-0000-0000-0000E61E0000}"/>
    <cellStyle name="Procent 2 5 2" xfId="7987" xr:uid="{00000000-0005-0000-0000-0000E71E0000}"/>
    <cellStyle name="Procent 2 5 2 2" xfId="7988" xr:uid="{00000000-0005-0000-0000-0000E81E0000}"/>
    <cellStyle name="Procent 2 5 2 2 2" xfId="7989" xr:uid="{00000000-0005-0000-0000-0000E91E0000}"/>
    <cellStyle name="Procent 2 5 2 3" xfId="7990" xr:uid="{00000000-0005-0000-0000-0000EA1E0000}"/>
    <cellStyle name="Procent 2 5 2 3 2" xfId="7991" xr:uid="{00000000-0005-0000-0000-0000EB1E0000}"/>
    <cellStyle name="Procent 2 5 2 4" xfId="7992" xr:uid="{00000000-0005-0000-0000-0000EC1E0000}"/>
    <cellStyle name="Procent 2 5 3" xfId="7993" xr:uid="{00000000-0005-0000-0000-0000ED1E0000}"/>
    <cellStyle name="Procent 2 5 3 2" xfId="7994" xr:uid="{00000000-0005-0000-0000-0000EE1E0000}"/>
    <cellStyle name="Procent 2 5 4" xfId="7995" xr:uid="{00000000-0005-0000-0000-0000EF1E0000}"/>
    <cellStyle name="Procent 2 5 4 2" xfId="7996" xr:uid="{00000000-0005-0000-0000-0000F01E0000}"/>
    <cellStyle name="Procent 2 5 5" xfId="7997" xr:uid="{00000000-0005-0000-0000-0000F11E0000}"/>
    <cellStyle name="Procent 2 5 5 2" xfId="7998" xr:uid="{00000000-0005-0000-0000-0000F21E0000}"/>
    <cellStyle name="Procent 2 5 6" xfId="7999" xr:uid="{00000000-0005-0000-0000-0000F31E0000}"/>
    <cellStyle name="Procent 2 5 6 2" xfId="8000" xr:uid="{00000000-0005-0000-0000-0000F41E0000}"/>
    <cellStyle name="Procent 2 6" xfId="8001" xr:uid="{00000000-0005-0000-0000-0000F51E0000}"/>
    <cellStyle name="Procent 2 6 2" xfId="8002" xr:uid="{00000000-0005-0000-0000-0000F61E0000}"/>
    <cellStyle name="Procent 2 6 2 2" xfId="8003" xr:uid="{00000000-0005-0000-0000-0000F71E0000}"/>
    <cellStyle name="Procent 2 6 2 2 2" xfId="8004" xr:uid="{00000000-0005-0000-0000-0000F81E0000}"/>
    <cellStyle name="Procent 2 6 2 3" xfId="8005" xr:uid="{00000000-0005-0000-0000-0000F91E0000}"/>
    <cellStyle name="Procent 2 6 2 3 2" xfId="8006" xr:uid="{00000000-0005-0000-0000-0000FA1E0000}"/>
    <cellStyle name="Procent 2 6 2 4" xfId="8007" xr:uid="{00000000-0005-0000-0000-0000FB1E0000}"/>
    <cellStyle name="Procent 2 6 3" xfId="8008" xr:uid="{00000000-0005-0000-0000-0000FC1E0000}"/>
    <cellStyle name="Procent 2 6 3 2" xfId="8009" xr:uid="{00000000-0005-0000-0000-0000FD1E0000}"/>
    <cellStyle name="Procent 2 6 4" xfId="8010" xr:uid="{00000000-0005-0000-0000-0000FE1E0000}"/>
    <cellStyle name="Procent 2 6 4 2" xfId="8011" xr:uid="{00000000-0005-0000-0000-0000FF1E0000}"/>
    <cellStyle name="Procent 2 6 5" xfId="8012" xr:uid="{00000000-0005-0000-0000-0000001F0000}"/>
    <cellStyle name="Procent 2 6 5 2" xfId="8013" xr:uid="{00000000-0005-0000-0000-0000011F0000}"/>
    <cellStyle name="Procent 2 6 6" xfId="8014" xr:uid="{00000000-0005-0000-0000-0000021F0000}"/>
    <cellStyle name="Procent 2 7" xfId="8015" xr:uid="{00000000-0005-0000-0000-0000031F0000}"/>
    <cellStyle name="Procent 2 7 2" xfId="8016" xr:uid="{00000000-0005-0000-0000-0000041F0000}"/>
    <cellStyle name="Procent 2 7 2 2" xfId="8017" xr:uid="{00000000-0005-0000-0000-0000051F0000}"/>
    <cellStyle name="Procent 2 7 2 2 2" xfId="8018" xr:uid="{00000000-0005-0000-0000-0000061F0000}"/>
    <cellStyle name="Procent 2 7 2 3" xfId="8019" xr:uid="{00000000-0005-0000-0000-0000071F0000}"/>
    <cellStyle name="Procent 2 7 2 3 2" xfId="8020" xr:uid="{00000000-0005-0000-0000-0000081F0000}"/>
    <cellStyle name="Procent 2 7 2 4" xfId="8021" xr:uid="{00000000-0005-0000-0000-0000091F0000}"/>
    <cellStyle name="Procent 2 7 3" xfId="8022" xr:uid="{00000000-0005-0000-0000-00000A1F0000}"/>
    <cellStyle name="Procent 2 7 3 2" xfId="8023" xr:uid="{00000000-0005-0000-0000-00000B1F0000}"/>
    <cellStyle name="Procent 2 7 4" xfId="8024" xr:uid="{00000000-0005-0000-0000-00000C1F0000}"/>
    <cellStyle name="Procent 2 7 4 2" xfId="8025" xr:uid="{00000000-0005-0000-0000-00000D1F0000}"/>
    <cellStyle name="Procent 2 7 5" xfId="8026" xr:uid="{00000000-0005-0000-0000-00000E1F0000}"/>
    <cellStyle name="Procent 2 7 5 2" xfId="8027" xr:uid="{00000000-0005-0000-0000-00000F1F0000}"/>
    <cellStyle name="Procent 2 7 6" xfId="8028" xr:uid="{00000000-0005-0000-0000-0000101F0000}"/>
    <cellStyle name="Procent 2 8" xfId="8029" xr:uid="{00000000-0005-0000-0000-0000111F0000}"/>
    <cellStyle name="Procent 2 8 2" xfId="8030" xr:uid="{00000000-0005-0000-0000-0000121F0000}"/>
    <cellStyle name="Procent 2 8 2 2" xfId="8031" xr:uid="{00000000-0005-0000-0000-0000131F0000}"/>
    <cellStyle name="Procent 2 8 2 2 2" xfId="8032" xr:uid="{00000000-0005-0000-0000-0000141F0000}"/>
    <cellStyle name="Procent 2 8 2 3" xfId="8033" xr:uid="{00000000-0005-0000-0000-0000151F0000}"/>
    <cellStyle name="Procent 2 8 2 3 2" xfId="8034" xr:uid="{00000000-0005-0000-0000-0000161F0000}"/>
    <cellStyle name="Procent 2 8 2 4" xfId="8035" xr:uid="{00000000-0005-0000-0000-0000171F0000}"/>
    <cellStyle name="Procent 2 8 3" xfId="8036" xr:uid="{00000000-0005-0000-0000-0000181F0000}"/>
    <cellStyle name="Procent 2 8 3 2" xfId="8037" xr:uid="{00000000-0005-0000-0000-0000191F0000}"/>
    <cellStyle name="Procent 2 8 4" xfId="8038" xr:uid="{00000000-0005-0000-0000-00001A1F0000}"/>
    <cellStyle name="Procent 2 8 4 2" xfId="8039" xr:uid="{00000000-0005-0000-0000-00001B1F0000}"/>
    <cellStyle name="Procent 2 8 5" xfId="8040" xr:uid="{00000000-0005-0000-0000-00001C1F0000}"/>
    <cellStyle name="Procent 2 8 5 2" xfId="8041" xr:uid="{00000000-0005-0000-0000-00001D1F0000}"/>
    <cellStyle name="Procent 2 8 6" xfId="8042" xr:uid="{00000000-0005-0000-0000-00001E1F0000}"/>
    <cellStyle name="Procent 2 9" xfId="8043" xr:uid="{00000000-0005-0000-0000-00001F1F0000}"/>
    <cellStyle name="Procent 2 9 2" xfId="8044" xr:uid="{00000000-0005-0000-0000-0000201F0000}"/>
    <cellStyle name="Procent 2 9 2 2" xfId="8045" xr:uid="{00000000-0005-0000-0000-0000211F0000}"/>
    <cellStyle name="Procent 2 9 3" xfId="8046" xr:uid="{00000000-0005-0000-0000-0000221F0000}"/>
    <cellStyle name="Procent 2 9 3 2" xfId="8047" xr:uid="{00000000-0005-0000-0000-0000231F0000}"/>
    <cellStyle name="Procent 2 9 4" xfId="8048" xr:uid="{00000000-0005-0000-0000-0000241F0000}"/>
    <cellStyle name="Procent 3" xfId="1806" xr:uid="{00000000-0005-0000-0000-0000251F0000}"/>
    <cellStyle name="Procent 3 2" xfId="3045" xr:uid="{00000000-0005-0000-0000-0000261F0000}"/>
    <cellStyle name="Procent 3 2 2" xfId="3866" xr:uid="{00000000-0005-0000-0000-0000271F0000}"/>
    <cellStyle name="Procent 3 2 2 2" xfId="8049" xr:uid="{00000000-0005-0000-0000-0000281F0000}"/>
    <cellStyle name="Procent 3 2 3" xfId="8050" xr:uid="{00000000-0005-0000-0000-0000291F0000}"/>
    <cellStyle name="Procent 3 2 3 2" xfId="8051" xr:uid="{00000000-0005-0000-0000-00002A1F0000}"/>
    <cellStyle name="Procent 3 2 4" xfId="8052" xr:uid="{00000000-0005-0000-0000-00002B1F0000}"/>
    <cellStyle name="Procent 3 2 5" xfId="8053" xr:uid="{00000000-0005-0000-0000-00002C1F0000}"/>
    <cellStyle name="Procent 3 3" xfId="3865" xr:uid="{00000000-0005-0000-0000-00002D1F0000}"/>
    <cellStyle name="Procent 3 3 2" xfId="8054" xr:uid="{00000000-0005-0000-0000-00002E1F0000}"/>
    <cellStyle name="Procent 3 4" xfId="3044" xr:uid="{00000000-0005-0000-0000-00002F1F0000}"/>
    <cellStyle name="Procent 3 4 2" xfId="8055" xr:uid="{00000000-0005-0000-0000-0000301F0000}"/>
    <cellStyle name="Procent 3 5" xfId="8056" xr:uid="{00000000-0005-0000-0000-0000311F0000}"/>
    <cellStyle name="Procent 3 6" xfId="8057" xr:uid="{00000000-0005-0000-0000-0000321F0000}"/>
    <cellStyle name="Procent 3 7" xfId="8058" xr:uid="{00000000-0005-0000-0000-0000331F0000}"/>
    <cellStyle name="Procent 4" xfId="1950" xr:uid="{00000000-0005-0000-0000-0000341F0000}"/>
    <cellStyle name="Procent 4 2" xfId="5016" xr:uid="{00000000-0005-0000-0000-0000351F0000}"/>
    <cellStyle name="Procent 4 2 2" xfId="8059" xr:uid="{00000000-0005-0000-0000-0000361F0000}"/>
    <cellStyle name="Procent 4 2 2 2" xfId="8060" xr:uid="{00000000-0005-0000-0000-0000371F0000}"/>
    <cellStyle name="Procent 4 2 2 3" xfId="8061" xr:uid="{00000000-0005-0000-0000-0000381F0000}"/>
    <cellStyle name="Procent 4 2 3" xfId="8062" xr:uid="{00000000-0005-0000-0000-0000391F0000}"/>
    <cellStyle name="Procent 4 2 3 2" xfId="8063" xr:uid="{00000000-0005-0000-0000-00003A1F0000}"/>
    <cellStyle name="Procent 4 2 4" xfId="8064" xr:uid="{00000000-0005-0000-0000-00003B1F0000}"/>
    <cellStyle name="Procent 4 2 5" xfId="8065" xr:uid="{00000000-0005-0000-0000-00003C1F0000}"/>
    <cellStyle name="Procent 4 3" xfId="3867" xr:uid="{00000000-0005-0000-0000-00003D1F0000}"/>
    <cellStyle name="Procent 4 3 2" xfId="8066" xr:uid="{00000000-0005-0000-0000-00003E1F0000}"/>
    <cellStyle name="Procent 4 3 3" xfId="8067" xr:uid="{00000000-0005-0000-0000-00003F1F0000}"/>
    <cellStyle name="Procent 4 4" xfId="8068" xr:uid="{00000000-0005-0000-0000-0000401F0000}"/>
    <cellStyle name="Procent 4 4 2" xfId="8069" xr:uid="{00000000-0005-0000-0000-0000411F0000}"/>
    <cellStyle name="Procent 4 5" xfId="8070" xr:uid="{00000000-0005-0000-0000-0000421F0000}"/>
    <cellStyle name="Procent 4 5 2" xfId="8071" xr:uid="{00000000-0005-0000-0000-0000431F0000}"/>
    <cellStyle name="Procent 4 6" xfId="8072" xr:uid="{00000000-0005-0000-0000-0000441F0000}"/>
    <cellStyle name="Procent 4 7" xfId="8073" xr:uid="{00000000-0005-0000-0000-0000451F0000}"/>
    <cellStyle name="Procent 5" xfId="8074" xr:uid="{00000000-0005-0000-0000-0000461F0000}"/>
    <cellStyle name="Procent 5 2" xfId="8075" xr:uid="{00000000-0005-0000-0000-0000471F0000}"/>
    <cellStyle name="Procent 5 2 2" xfId="8076" xr:uid="{00000000-0005-0000-0000-0000481F0000}"/>
    <cellStyle name="Procent 5 2 2 2" xfId="8077" xr:uid="{00000000-0005-0000-0000-0000491F0000}"/>
    <cellStyle name="Procent 5 2 3" xfId="8078" xr:uid="{00000000-0005-0000-0000-00004A1F0000}"/>
    <cellStyle name="Procent 5 2 3 2" xfId="8079" xr:uid="{00000000-0005-0000-0000-00004B1F0000}"/>
    <cellStyle name="Procent 5 2 4" xfId="8080" xr:uid="{00000000-0005-0000-0000-00004C1F0000}"/>
    <cellStyle name="Procent 5 3" xfId="8081" xr:uid="{00000000-0005-0000-0000-00004D1F0000}"/>
    <cellStyle name="Procent 5 3 2" xfId="8082" xr:uid="{00000000-0005-0000-0000-00004E1F0000}"/>
    <cellStyle name="Procent 5 4" xfId="8083" xr:uid="{00000000-0005-0000-0000-00004F1F0000}"/>
    <cellStyle name="Procent 5 4 2" xfId="8084" xr:uid="{00000000-0005-0000-0000-0000501F0000}"/>
    <cellStyle name="Procent 5 5" xfId="8085" xr:uid="{00000000-0005-0000-0000-0000511F0000}"/>
    <cellStyle name="Procent 5 5 2" xfId="8086" xr:uid="{00000000-0005-0000-0000-0000521F0000}"/>
    <cellStyle name="Procent 5 6" xfId="8087" xr:uid="{00000000-0005-0000-0000-0000531F0000}"/>
    <cellStyle name="Procent 5 7" xfId="8088" xr:uid="{00000000-0005-0000-0000-0000541F0000}"/>
    <cellStyle name="Procent 6" xfId="8089" xr:uid="{00000000-0005-0000-0000-0000551F0000}"/>
    <cellStyle name="Procent 6 2" xfId="8090" xr:uid="{00000000-0005-0000-0000-0000561F0000}"/>
    <cellStyle name="Procent 6 2 2" xfId="8091" xr:uid="{00000000-0005-0000-0000-0000571F0000}"/>
    <cellStyle name="Procent 6 2 2 2" xfId="8092" xr:uid="{00000000-0005-0000-0000-0000581F0000}"/>
    <cellStyle name="Procent 6 2 3" xfId="8093" xr:uid="{00000000-0005-0000-0000-0000591F0000}"/>
    <cellStyle name="Procent 6 2 3 2" xfId="8094" xr:uid="{00000000-0005-0000-0000-00005A1F0000}"/>
    <cellStyle name="Procent 6 2 4" xfId="8095" xr:uid="{00000000-0005-0000-0000-00005B1F0000}"/>
    <cellStyle name="Procent 6 3" xfId="8096" xr:uid="{00000000-0005-0000-0000-00005C1F0000}"/>
    <cellStyle name="Procent 6 3 2" xfId="8097" xr:uid="{00000000-0005-0000-0000-00005D1F0000}"/>
    <cellStyle name="Procent 6 4" xfId="8098" xr:uid="{00000000-0005-0000-0000-00005E1F0000}"/>
    <cellStyle name="Procent 6 4 2" xfId="8099" xr:uid="{00000000-0005-0000-0000-00005F1F0000}"/>
    <cellStyle name="Procent 6 5" xfId="8100" xr:uid="{00000000-0005-0000-0000-0000601F0000}"/>
    <cellStyle name="Procent 6 5 2" xfId="8101" xr:uid="{00000000-0005-0000-0000-0000611F0000}"/>
    <cellStyle name="Procent 6 6" xfId="8102" xr:uid="{00000000-0005-0000-0000-0000621F0000}"/>
    <cellStyle name="Procent 7" xfId="8103" xr:uid="{00000000-0005-0000-0000-0000631F0000}"/>
    <cellStyle name="Procent 7 2" xfId="8104" xr:uid="{00000000-0005-0000-0000-0000641F0000}"/>
    <cellStyle name="Procent 7 2 2" xfId="8105" xr:uid="{00000000-0005-0000-0000-0000651F0000}"/>
    <cellStyle name="Procent 7 2 2 2" xfId="8106" xr:uid="{00000000-0005-0000-0000-0000661F0000}"/>
    <cellStyle name="Procent 7 2 3" xfId="8107" xr:uid="{00000000-0005-0000-0000-0000671F0000}"/>
    <cellStyle name="Procent 7 2 3 2" xfId="8108" xr:uid="{00000000-0005-0000-0000-0000681F0000}"/>
    <cellStyle name="Procent 7 2 4" xfId="8109" xr:uid="{00000000-0005-0000-0000-0000691F0000}"/>
    <cellStyle name="Procent 7 3" xfId="8110" xr:uid="{00000000-0005-0000-0000-00006A1F0000}"/>
    <cellStyle name="Procent 7 3 2" xfId="8111" xr:uid="{00000000-0005-0000-0000-00006B1F0000}"/>
    <cellStyle name="Procent 7 4" xfId="8112" xr:uid="{00000000-0005-0000-0000-00006C1F0000}"/>
    <cellStyle name="Procent 7 4 2" xfId="8113" xr:uid="{00000000-0005-0000-0000-00006D1F0000}"/>
    <cellStyle name="Procent 7 5" xfId="8114" xr:uid="{00000000-0005-0000-0000-00006E1F0000}"/>
    <cellStyle name="Procent 7 5 2" xfId="8115" xr:uid="{00000000-0005-0000-0000-00006F1F0000}"/>
    <cellStyle name="Procent 7 6" xfId="8116" xr:uid="{00000000-0005-0000-0000-0000701F0000}"/>
    <cellStyle name="Procent 8" xfId="8117" xr:uid="{00000000-0005-0000-0000-0000711F0000}"/>
    <cellStyle name="Procent 8 2" xfId="8118" xr:uid="{00000000-0005-0000-0000-0000721F0000}"/>
    <cellStyle name="Procent 8 2 2" xfId="8119" xr:uid="{00000000-0005-0000-0000-0000731F0000}"/>
    <cellStyle name="Procent 8 2 2 2" xfId="8120" xr:uid="{00000000-0005-0000-0000-0000741F0000}"/>
    <cellStyle name="Procent 8 2 3" xfId="8121" xr:uid="{00000000-0005-0000-0000-0000751F0000}"/>
    <cellStyle name="Procent 8 2 3 2" xfId="8122" xr:uid="{00000000-0005-0000-0000-0000761F0000}"/>
    <cellStyle name="Procent 8 2 4" xfId="8123" xr:uid="{00000000-0005-0000-0000-0000771F0000}"/>
    <cellStyle name="Procent 8 3" xfId="8124" xr:uid="{00000000-0005-0000-0000-0000781F0000}"/>
    <cellStyle name="Procent 8 3 2" xfId="8125" xr:uid="{00000000-0005-0000-0000-0000791F0000}"/>
    <cellStyle name="Procent 8 4" xfId="8126" xr:uid="{00000000-0005-0000-0000-00007A1F0000}"/>
    <cellStyle name="Procent 8 4 2" xfId="8127" xr:uid="{00000000-0005-0000-0000-00007B1F0000}"/>
    <cellStyle name="Procent 8 5" xfId="8128" xr:uid="{00000000-0005-0000-0000-00007C1F0000}"/>
    <cellStyle name="Procent 9" xfId="8129" xr:uid="{00000000-0005-0000-0000-00007D1F0000}"/>
    <cellStyle name="Procent 9 2" xfId="8130" xr:uid="{00000000-0005-0000-0000-00007E1F0000}"/>
    <cellStyle name="Procent 9 2 2" xfId="8131" xr:uid="{00000000-0005-0000-0000-00007F1F0000}"/>
    <cellStyle name="Procent 9 3" xfId="8132" xr:uid="{00000000-0005-0000-0000-0000801F0000}"/>
    <cellStyle name="Procent 9 3 2" xfId="8133" xr:uid="{00000000-0005-0000-0000-0000811F0000}"/>
    <cellStyle name="Procent 9 4" xfId="8134" xr:uid="{00000000-0005-0000-0000-0000821F0000}"/>
    <cellStyle name="Standard_Sce_D_Extraction" xfId="1807" xr:uid="{00000000-0005-0000-0000-0000831F0000}"/>
    <cellStyle name="Style 155" xfId="3046" xr:uid="{00000000-0005-0000-0000-0000841F0000}"/>
    <cellStyle name="Style 156" xfId="3047" xr:uid="{00000000-0005-0000-0000-0000851F0000}"/>
    <cellStyle name="Style 157" xfId="3048" xr:uid="{00000000-0005-0000-0000-0000861F0000}"/>
    <cellStyle name="Style 158" xfId="3049" xr:uid="{00000000-0005-0000-0000-0000871F0000}"/>
    <cellStyle name="Style 159" xfId="3050" xr:uid="{00000000-0005-0000-0000-0000881F0000}"/>
    <cellStyle name="Style 161" xfId="3051" xr:uid="{00000000-0005-0000-0000-0000891F0000}"/>
    <cellStyle name="Style 162" xfId="3052" xr:uid="{00000000-0005-0000-0000-00008A1F0000}"/>
    <cellStyle name="Style 163" xfId="3053" xr:uid="{00000000-0005-0000-0000-00008B1F0000}"/>
    <cellStyle name="Style 223" xfId="3054" xr:uid="{00000000-0005-0000-0000-00008C1F0000}"/>
    <cellStyle name="Style 224" xfId="3055" xr:uid="{00000000-0005-0000-0000-00008D1F0000}"/>
    <cellStyle name="Style 225" xfId="3056" xr:uid="{00000000-0005-0000-0000-00008E1F0000}"/>
    <cellStyle name="Style 226" xfId="3057" xr:uid="{00000000-0005-0000-0000-00008F1F0000}"/>
    <cellStyle name="Style 227" xfId="3058" xr:uid="{00000000-0005-0000-0000-0000901F0000}"/>
    <cellStyle name="Style 229" xfId="3059" xr:uid="{00000000-0005-0000-0000-0000911F0000}"/>
    <cellStyle name="Style 230" xfId="3060" xr:uid="{00000000-0005-0000-0000-0000921F0000}"/>
    <cellStyle name="Style 231" xfId="3061" xr:uid="{00000000-0005-0000-0000-0000931F0000}"/>
    <cellStyle name="Style 257" xfId="3062" xr:uid="{00000000-0005-0000-0000-0000941F0000}"/>
    <cellStyle name="Style 258" xfId="3063" xr:uid="{00000000-0005-0000-0000-0000951F0000}"/>
    <cellStyle name="Style 259" xfId="3064" xr:uid="{00000000-0005-0000-0000-0000961F0000}"/>
    <cellStyle name="Style 260" xfId="3065" xr:uid="{00000000-0005-0000-0000-0000971F0000}"/>
    <cellStyle name="Style 261" xfId="3066" xr:uid="{00000000-0005-0000-0000-0000981F0000}"/>
    <cellStyle name="Style 263" xfId="3067" xr:uid="{00000000-0005-0000-0000-0000991F0000}"/>
    <cellStyle name="Style 264" xfId="3068" xr:uid="{00000000-0005-0000-0000-00009A1F0000}"/>
    <cellStyle name="Style 265" xfId="3069" xr:uid="{00000000-0005-0000-0000-00009B1F0000}"/>
    <cellStyle name="Style 461" xfId="3070" xr:uid="{00000000-0005-0000-0000-00009C1F0000}"/>
    <cellStyle name="Style 467" xfId="3071" xr:uid="{00000000-0005-0000-0000-00009D1F0000}"/>
    <cellStyle name="Style 468" xfId="3072" xr:uid="{00000000-0005-0000-0000-00009E1F0000}"/>
    <cellStyle name="Style 469" xfId="3073" xr:uid="{00000000-0005-0000-0000-00009F1F0000}"/>
    <cellStyle name="Style 478" xfId="3074" xr:uid="{00000000-0005-0000-0000-0000A01F0000}"/>
    <cellStyle name="Style 479" xfId="3075" xr:uid="{00000000-0005-0000-0000-0000A11F0000}"/>
    <cellStyle name="Style 480" xfId="3076" xr:uid="{00000000-0005-0000-0000-0000A21F0000}"/>
    <cellStyle name="Style 481" xfId="3077" xr:uid="{00000000-0005-0000-0000-0000A31F0000}"/>
    <cellStyle name="Style 482" xfId="3078" xr:uid="{00000000-0005-0000-0000-0000A41F0000}"/>
    <cellStyle name="Style 484" xfId="3079" xr:uid="{00000000-0005-0000-0000-0000A51F0000}"/>
    <cellStyle name="Style 485" xfId="3080" xr:uid="{00000000-0005-0000-0000-0000A61F0000}"/>
    <cellStyle name="Style 486" xfId="3081" xr:uid="{00000000-0005-0000-0000-0000A71F0000}"/>
    <cellStyle name="Style 495" xfId="3082" xr:uid="{00000000-0005-0000-0000-0000A81F0000}"/>
    <cellStyle name="Style 496" xfId="3083" xr:uid="{00000000-0005-0000-0000-0000A91F0000}"/>
    <cellStyle name="Style 497" xfId="3084" xr:uid="{00000000-0005-0000-0000-0000AA1F0000}"/>
    <cellStyle name="Style 498" xfId="3085" xr:uid="{00000000-0005-0000-0000-0000AB1F0000}"/>
    <cellStyle name="Style 499" xfId="3086" xr:uid="{00000000-0005-0000-0000-0000AC1F0000}"/>
    <cellStyle name="Style 501" xfId="3087" xr:uid="{00000000-0005-0000-0000-0000AD1F0000}"/>
    <cellStyle name="Style 502" xfId="3088" xr:uid="{00000000-0005-0000-0000-0000AE1F0000}"/>
    <cellStyle name="Style 503" xfId="3089" xr:uid="{00000000-0005-0000-0000-0000AF1F0000}"/>
    <cellStyle name="Style 580" xfId="3090" xr:uid="{00000000-0005-0000-0000-0000B01F0000}"/>
    <cellStyle name="Style 581" xfId="3091" xr:uid="{00000000-0005-0000-0000-0000B11F0000}"/>
    <cellStyle name="Style 582" xfId="3092" xr:uid="{00000000-0005-0000-0000-0000B21F0000}"/>
    <cellStyle name="Style 583" xfId="3093" xr:uid="{00000000-0005-0000-0000-0000B31F0000}"/>
    <cellStyle name="Style 584" xfId="3094" xr:uid="{00000000-0005-0000-0000-0000B41F0000}"/>
    <cellStyle name="Style 586" xfId="3095" xr:uid="{00000000-0005-0000-0000-0000B51F0000}"/>
    <cellStyle name="Style 587" xfId="3096" xr:uid="{00000000-0005-0000-0000-0000B61F0000}"/>
    <cellStyle name="Style 588" xfId="3097" xr:uid="{00000000-0005-0000-0000-0000B71F0000}"/>
    <cellStyle name="Testo avviso" xfId="1808" xr:uid="{00000000-0005-0000-0000-0000B81F0000}"/>
    <cellStyle name="Testo avviso 2" xfId="8135" xr:uid="{00000000-0005-0000-0000-0000B91F0000}"/>
    <cellStyle name="Testo avviso 3" xfId="8136" xr:uid="{00000000-0005-0000-0000-0000BA1F0000}"/>
    <cellStyle name="Testo descrittivo" xfId="1809" xr:uid="{00000000-0005-0000-0000-0000BB1F0000}"/>
    <cellStyle name="Testo descrittivo 2" xfId="8137" xr:uid="{00000000-0005-0000-0000-0000BC1F0000}"/>
    <cellStyle name="Testo descrittivo 3" xfId="8138" xr:uid="{00000000-0005-0000-0000-0000BD1F0000}"/>
    <cellStyle name="Titel 2" xfId="8139" xr:uid="{00000000-0005-0000-0000-0000BE1F0000}"/>
    <cellStyle name="Titel 2 2" xfId="8140" xr:uid="{00000000-0005-0000-0000-0000BF1F0000}"/>
    <cellStyle name="Titel 2 3" xfId="8141" xr:uid="{00000000-0005-0000-0000-0000C01F0000}"/>
    <cellStyle name="Title 2" xfId="8142" xr:uid="{00000000-0005-0000-0000-0000C11F0000}"/>
    <cellStyle name="Title 2 2" xfId="8143" xr:uid="{00000000-0005-0000-0000-0000C21F0000}"/>
    <cellStyle name="Title 2 3" xfId="8144" xr:uid="{00000000-0005-0000-0000-0000C31F0000}"/>
    <cellStyle name="Titolo" xfId="1810" xr:uid="{00000000-0005-0000-0000-0000C41F0000}"/>
    <cellStyle name="Titolo 1" xfId="1811" xr:uid="{00000000-0005-0000-0000-0000C51F0000}"/>
    <cellStyle name="Titolo 1 2" xfId="3098" xr:uid="{00000000-0005-0000-0000-0000C61F0000}"/>
    <cellStyle name="Titolo 1 3" xfId="8145" xr:uid="{00000000-0005-0000-0000-0000C71F0000}"/>
    <cellStyle name="Titolo 2" xfId="1812" xr:uid="{00000000-0005-0000-0000-0000C81F0000}"/>
    <cellStyle name="Titolo 2 2" xfId="3099" xr:uid="{00000000-0005-0000-0000-0000C91F0000}"/>
    <cellStyle name="Titolo 2 3" xfId="8146" xr:uid="{00000000-0005-0000-0000-0000CA1F0000}"/>
    <cellStyle name="Titolo 3" xfId="1813" xr:uid="{00000000-0005-0000-0000-0000CB1F0000}"/>
    <cellStyle name="Titolo 3 2" xfId="3100" xr:uid="{00000000-0005-0000-0000-0000CC1F0000}"/>
    <cellStyle name="Titolo 3 2 2" xfId="8147" xr:uid="{00000000-0005-0000-0000-0000CD1F0000}"/>
    <cellStyle name="Titolo 3 2 3" xfId="8148" xr:uid="{00000000-0005-0000-0000-0000CE1F0000}"/>
    <cellStyle name="Titolo 3 3" xfId="8149" xr:uid="{00000000-0005-0000-0000-0000CF1F0000}"/>
    <cellStyle name="Titolo 3 4" xfId="8150" xr:uid="{00000000-0005-0000-0000-0000D01F0000}"/>
    <cellStyle name="Titolo 4" xfId="1814" xr:uid="{00000000-0005-0000-0000-0000D11F0000}"/>
    <cellStyle name="Titolo 4 2" xfId="8151" xr:uid="{00000000-0005-0000-0000-0000D21F0000}"/>
    <cellStyle name="Titolo 4 3" xfId="8152" xr:uid="{00000000-0005-0000-0000-0000D31F0000}"/>
    <cellStyle name="Titolo 5" xfId="8153" xr:uid="{00000000-0005-0000-0000-0000D41F0000}"/>
    <cellStyle name="Titolo 6" xfId="8154" xr:uid="{00000000-0005-0000-0000-0000D51F0000}"/>
    <cellStyle name="Total 2" xfId="1815" xr:uid="{00000000-0005-0000-0000-0000D61F0000}"/>
    <cellStyle name="Total 2 2" xfId="3101" xr:uid="{00000000-0005-0000-0000-0000D71F0000}"/>
    <cellStyle name="Total 2 3" xfId="8155" xr:uid="{00000000-0005-0000-0000-0000D81F0000}"/>
    <cellStyle name="Total 2 4" xfId="8156" xr:uid="{00000000-0005-0000-0000-0000D91F0000}"/>
    <cellStyle name="Total 3" xfId="8157" xr:uid="{00000000-0005-0000-0000-0000DA1F0000}"/>
    <cellStyle name="Total 4" xfId="8158" xr:uid="{00000000-0005-0000-0000-0000DB1F0000}"/>
    <cellStyle name="Totale" xfId="1816" xr:uid="{00000000-0005-0000-0000-0000DC1F0000}"/>
    <cellStyle name="Totale 2" xfId="3102" xr:uid="{00000000-0005-0000-0000-0000DD1F0000}"/>
    <cellStyle name="Totale 2 2" xfId="3103" xr:uid="{00000000-0005-0000-0000-0000DE1F0000}"/>
    <cellStyle name="Totale 2 3" xfId="8159" xr:uid="{00000000-0005-0000-0000-0000DF1F0000}"/>
    <cellStyle name="Totale 3" xfId="3104" xr:uid="{00000000-0005-0000-0000-0000E01F0000}"/>
    <cellStyle name="Totale 3 2" xfId="3105" xr:uid="{00000000-0005-0000-0000-0000E11F0000}"/>
    <cellStyle name="Totale 3 3" xfId="8160" xr:uid="{00000000-0005-0000-0000-0000E21F0000}"/>
    <cellStyle name="Totale 4" xfId="3106" xr:uid="{00000000-0005-0000-0000-0000E31F0000}"/>
    <cellStyle name="Totale 4 2" xfId="8161" xr:uid="{00000000-0005-0000-0000-0000E41F0000}"/>
    <cellStyle name="Totale 4 3" xfId="8162" xr:uid="{00000000-0005-0000-0000-0000E51F0000}"/>
    <cellStyle name="Totale 5" xfId="8163" xr:uid="{00000000-0005-0000-0000-0000E61F0000}"/>
    <cellStyle name="Totale 5 2" xfId="8164" xr:uid="{00000000-0005-0000-0000-0000E71F0000}"/>
    <cellStyle name="Totale 5 3" xfId="8165" xr:uid="{00000000-0005-0000-0000-0000E81F0000}"/>
    <cellStyle name="Totale 6" xfId="8166" xr:uid="{00000000-0005-0000-0000-0000E91F0000}"/>
    <cellStyle name="Totale 6 2" xfId="8167" xr:uid="{00000000-0005-0000-0000-0000EA1F0000}"/>
    <cellStyle name="Totale 6 3" xfId="8168" xr:uid="{00000000-0005-0000-0000-0000EB1F0000}"/>
    <cellStyle name="Totale 7" xfId="8169" xr:uid="{00000000-0005-0000-0000-0000EC1F0000}"/>
    <cellStyle name="Totale 8" xfId="8170" xr:uid="{00000000-0005-0000-0000-0000ED1F0000}"/>
    <cellStyle name="Ugyldig 2" xfId="1817" xr:uid="{00000000-0005-0000-0000-0000EE1F0000}"/>
    <cellStyle name="Uncertain" xfId="3868" xr:uid="{00000000-0005-0000-0000-0000EF1F0000}"/>
    <cellStyle name="Valore non valido" xfId="1818" xr:uid="{00000000-0005-0000-0000-0000F01F0000}"/>
    <cellStyle name="Valore non valido 2" xfId="8171" xr:uid="{00000000-0005-0000-0000-0000F11F0000}"/>
    <cellStyle name="Valore non valido 3" xfId="8172" xr:uid="{00000000-0005-0000-0000-0000F21F0000}"/>
    <cellStyle name="Valore valido" xfId="1819" xr:uid="{00000000-0005-0000-0000-0000F31F0000}"/>
    <cellStyle name="Valore valido 2" xfId="8173" xr:uid="{00000000-0005-0000-0000-0000F41F0000}"/>
    <cellStyle name="Valore valido 3" xfId="8174" xr:uid="{00000000-0005-0000-0000-0000F51F0000}"/>
    <cellStyle name="Warning Text 2" xfId="8175" xr:uid="{00000000-0005-0000-0000-0000F61F0000}"/>
    <cellStyle name="Warning Text 2 2" xfId="8176" xr:uid="{00000000-0005-0000-0000-0000F71F0000}"/>
    <cellStyle name="Warning Text 2 3" xfId="8177" xr:uid="{00000000-0005-0000-0000-0000F81F0000}"/>
    <cellStyle name="Warning Text 3" xfId="8178" xr:uid="{00000000-0005-0000-0000-0000F91F0000}"/>
    <cellStyle name="Warning Text 4" xfId="8179" xr:uid="{00000000-0005-0000-0000-0000FA1F0000}"/>
    <cellStyle name="X08_Total Oil" xfId="8180" xr:uid="{00000000-0005-0000-0000-0000FB1F0000}"/>
    <cellStyle name="X12_Total Figs 1 dec" xfId="8181" xr:uid="{00000000-0005-0000-0000-0000FC1F0000}"/>
    <cellStyle name="Years" xfId="3869" xr:uid="{00000000-0005-0000-0000-0000FD1F0000}"/>
    <cellStyle name="Обычный_CRF2002 (1)" xfId="1820" xr:uid="{00000000-0005-0000-0000-0000FE1F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37"/>
  <sheetViews>
    <sheetView topLeftCell="B1" workbookViewId="0">
      <selection activeCell="E4" sqref="E4"/>
    </sheetView>
  </sheetViews>
  <sheetFormatPr defaultRowHeight="12.6"/>
  <cols>
    <col min="1" max="1" width="11" bestFit="1" customWidth="1"/>
    <col min="2" max="2" width="22.6640625" bestFit="1" customWidth="1"/>
    <col min="3" max="3" width="12.6640625" bestFit="1" customWidth="1"/>
    <col min="4" max="4" width="17.88671875" bestFit="1" customWidth="1"/>
    <col min="5" max="5" width="100.88671875" bestFit="1" customWidth="1"/>
    <col min="9" max="9" width="13" customWidth="1"/>
    <col min="10" max="10" width="14.5546875" bestFit="1" customWidth="1"/>
  </cols>
  <sheetData>
    <row r="3" spans="1:5" ht="13.2">
      <c r="A3" s="15" t="s">
        <v>36</v>
      </c>
      <c r="B3" s="16" t="s">
        <v>37</v>
      </c>
      <c r="C3" s="16" t="s">
        <v>12</v>
      </c>
      <c r="D3" s="16" t="s">
        <v>38</v>
      </c>
      <c r="E3" s="16" t="s">
        <v>39</v>
      </c>
    </row>
    <row r="4" spans="1:5" s="27" customFormat="1" ht="13.2">
      <c r="A4" s="28">
        <v>43437</v>
      </c>
      <c r="B4" s="26" t="s">
        <v>293</v>
      </c>
      <c r="C4" s="26" t="s">
        <v>156</v>
      </c>
      <c r="D4" s="26" t="str">
        <f>ADDRESS(ROW(FuelTax!C29),COLUMN(FuelTax!C29),4,1)</f>
        <v>C29</v>
      </c>
      <c r="E4" s="26" t="s">
        <v>495</v>
      </c>
    </row>
    <row r="5" spans="1:5" s="27" customFormat="1" ht="13.2">
      <c r="A5" s="28">
        <v>43154</v>
      </c>
      <c r="B5" s="26" t="s">
        <v>293</v>
      </c>
      <c r="C5" s="26" t="s">
        <v>439</v>
      </c>
      <c r="D5" s="26" t="str">
        <f>ADDRESS(ROW('TAX_CHP_MultiFuel-NEW'!B14),COLUMN('TAX_CHP_MultiFuel-NEW'!B14),4,1)</f>
        <v>B14</v>
      </c>
      <c r="E5" s="26" t="s">
        <v>492</v>
      </c>
    </row>
    <row r="6" spans="1:5" s="27" customFormat="1" ht="13.2">
      <c r="A6" s="28">
        <v>43154</v>
      </c>
      <c r="B6" s="26" t="s">
        <v>293</v>
      </c>
      <c r="C6" s="26" t="s">
        <v>222</v>
      </c>
      <c r="D6" s="26" t="str">
        <f>ADDRESS(ROW(Sub_Win_Sol!B1),COLUMN(Sub_Win_Sol!B1),4,1)</f>
        <v>B1</v>
      </c>
      <c r="E6" s="26" t="s">
        <v>491</v>
      </c>
    </row>
    <row r="7" spans="1:5" s="27" customFormat="1" ht="13.2">
      <c r="A7" s="28">
        <v>43154</v>
      </c>
      <c r="B7" s="26" t="s">
        <v>293</v>
      </c>
      <c r="C7" s="26" t="s">
        <v>92</v>
      </c>
      <c r="D7" s="26" t="str">
        <f>ADDRESS(ROW(TAX_HPL_FuelInput!F539),COLUMN(TAX_HPL_FuelInput!F539),4,1)</f>
        <v>F539</v>
      </c>
      <c r="E7" s="26" t="s">
        <v>482</v>
      </c>
    </row>
    <row r="8" spans="1:5" s="27" customFormat="1" ht="13.2">
      <c r="A8" s="28">
        <v>43151</v>
      </c>
      <c r="B8" s="26" t="s">
        <v>293</v>
      </c>
      <c r="C8" s="26" t="s">
        <v>20</v>
      </c>
      <c r="D8" s="26" t="str">
        <f>ADDRESS(ROW('TAX_CHP-SFuel'!E472),COLUMN('TAX_CHP-SFuel'!E472),4,1)</f>
        <v>E472</v>
      </c>
      <c r="E8" s="26" t="s">
        <v>473</v>
      </c>
    </row>
    <row r="9" spans="1:5" s="27" customFormat="1" ht="13.2">
      <c r="A9" s="28">
        <v>43150</v>
      </c>
      <c r="B9" s="26" t="s">
        <v>293</v>
      </c>
      <c r="C9" s="26" t="s">
        <v>439</v>
      </c>
      <c r="D9" s="26" t="str">
        <f>ADDRESS(ROW('TAX_CHP_MultiFuel-NEW'!H16),COLUMN('TAX_CHP_MultiFuel-NEW'!H16),4,1)</f>
        <v>H16</v>
      </c>
      <c r="E9" s="26" t="s">
        <v>470</v>
      </c>
    </row>
    <row r="10" spans="1:5" s="27" customFormat="1" ht="13.2">
      <c r="A10" s="28">
        <v>43150</v>
      </c>
      <c r="B10" s="26" t="s">
        <v>293</v>
      </c>
      <c r="C10" s="26" t="s">
        <v>20</v>
      </c>
      <c r="D10" s="26" t="str">
        <f>ADDRESS(ROW('TAX_CHP-SFuel'!E308),COLUMN('TAX_CHP-SFuel'!E308),4,1)</f>
        <v>E308</v>
      </c>
      <c r="E10" s="26" t="s">
        <v>466</v>
      </c>
    </row>
    <row r="11" spans="1:5" s="27" customFormat="1" ht="13.2">
      <c r="A11" s="28" t="s">
        <v>454</v>
      </c>
      <c r="B11" s="26" t="s">
        <v>293</v>
      </c>
      <c r="C11" s="26" t="s">
        <v>455</v>
      </c>
      <c r="D11" s="26"/>
      <c r="E11" s="26" t="s">
        <v>456</v>
      </c>
    </row>
    <row r="12" spans="1:5" s="27" customFormat="1" ht="13.2">
      <c r="A12" s="28">
        <v>42991</v>
      </c>
      <c r="B12" s="26" t="s">
        <v>91</v>
      </c>
      <c r="C12" s="26" t="s">
        <v>92</v>
      </c>
      <c r="D12" s="26" t="str">
        <f>ADDRESS(ROW(TAX_HPL_FuelInput!H5),COLUMN(TAX_HPL_FuelInput!H5),4,1)&amp;","&amp;ADDRESS(ROW(TAX_HPL_FuelInput!I5),COLUMN(TAX_HPL_FuelInput!I5),4,1)</f>
        <v>H5,I5</v>
      </c>
      <c r="E12" s="26" t="s">
        <v>434</v>
      </c>
    </row>
    <row r="13" spans="1:5" s="27" customFormat="1" ht="13.2">
      <c r="A13" s="28">
        <v>42991</v>
      </c>
      <c r="B13" s="26" t="s">
        <v>91</v>
      </c>
      <c r="C13" s="26" t="s">
        <v>222</v>
      </c>
      <c r="D13" s="26" t="str">
        <f>ADDRESS(ROW('Dact Sub_Win_Sol'!I37),COLUMN('Dact Sub_Win_Sol'!I37),4,1)&amp;","&amp;ADDRESS(ROW('Dact Sub_Win_Sol'!J37),COLUMN('Dact Sub_Win_Sol'!J37),4,1)</f>
        <v>I37,J37</v>
      </c>
      <c r="E13" s="26" t="s">
        <v>434</v>
      </c>
    </row>
    <row r="14" spans="1:5" s="27" customFormat="1" ht="13.2">
      <c r="A14" s="28">
        <v>42991</v>
      </c>
      <c r="B14" s="26" t="s">
        <v>91</v>
      </c>
      <c r="C14" s="26" t="s">
        <v>440</v>
      </c>
      <c r="D14" s="26" t="str">
        <f>ADDRESS(ROW('Dact Sub_Win_Sol2'!I40),COLUMN('Dact Sub_Win_Sol2'!I40),4,1)&amp;","&amp;ADDRESS(ROW('Dact Sub_Win_Sol2'!J40),COLUMN('Dact Sub_Win_Sol2'!J40),4,1)</f>
        <v>I40,J40</v>
      </c>
      <c r="E14" s="26" t="s">
        <v>434</v>
      </c>
    </row>
    <row r="15" spans="1:5" s="27" customFormat="1" ht="13.2">
      <c r="A15" s="28">
        <v>42991</v>
      </c>
      <c r="B15" s="26" t="s">
        <v>91</v>
      </c>
      <c r="C15" s="26" t="s">
        <v>439</v>
      </c>
      <c r="D15" s="26" t="str">
        <f>ADDRESS(ROW('TAX_CHP_MultiFuel-NEW'!H15),COLUMN('TAX_CHP_MultiFuel-NEW'!H15),4,1)&amp;","&amp;ADDRESS(ROW('TAX_CHP_MultiFuel-NEW'!I15),COLUMN('TAX_CHP_MultiFuel-NEW'!I15),4,1)&amp;","&amp;ADDRESS(ROW('TAX_CHP_MultiFuel-NEW'!U15),COLUMN('TAX_CHP_MultiFuel-NEW'!U15),4,1)&amp;","&amp;ADDRESS(ROW('TAX_CHP_MultiFuel-NEW'!V15),COLUMN('TAX_CHP_MultiFuel-NEW'!V15),4,1)</f>
        <v>H15,I15,U15,V15</v>
      </c>
      <c r="E15" s="26" t="s">
        <v>434</v>
      </c>
    </row>
    <row r="16" spans="1:5" s="27" customFormat="1" ht="13.2">
      <c r="A16" s="28">
        <v>42991</v>
      </c>
      <c r="B16" s="26" t="s">
        <v>91</v>
      </c>
      <c r="C16" s="26" t="s">
        <v>438</v>
      </c>
      <c r="D16" s="26" t="str">
        <f>ADDRESS(ROW('Dact TAX_CHP_MultiFuel'!H15),COLUMN('Dact TAX_CHP_MultiFuel'!H15),4,1)&amp;","&amp;ADDRESS(ROW('Dact TAX_CHP_MultiFuel'!I15),COLUMN('Dact TAX_CHP_MultiFuel'!I15),4,1)</f>
        <v>H15,I15</v>
      </c>
      <c r="E16" s="26" t="s">
        <v>434</v>
      </c>
    </row>
    <row r="17" spans="1:5" s="27" customFormat="1" ht="13.2">
      <c r="A17" s="28">
        <v>42991</v>
      </c>
      <c r="B17" s="26" t="s">
        <v>91</v>
      </c>
      <c r="C17" s="26" t="s">
        <v>20</v>
      </c>
      <c r="D17" s="26" t="str">
        <f>ADDRESS(ROW('TAX_CHP-SFuel'!H20),COLUMN('TAX_CHP-SFuel'!H20),4,1)&amp;","&amp;ADDRESS(ROW('TAX_CHP-SFuel'!I20),COLUMN('TAX_CHP-SFuel'!I20),4,1)</f>
        <v>H20,I20</v>
      </c>
      <c r="E17" s="26" t="s">
        <v>434</v>
      </c>
    </row>
    <row r="18" spans="1:5" s="27" customFormat="1" ht="13.2">
      <c r="A18" s="28">
        <v>42991</v>
      </c>
      <c r="B18" s="26" t="s">
        <v>91</v>
      </c>
      <c r="C18" s="26" t="s">
        <v>437</v>
      </c>
      <c r="D18" s="26" t="str">
        <f>ADDRESS(ROW('Template SUB_HPL_HeatProd'!H5),COLUMN('Template SUB_HPL_HeatProd'!H5),4,1)&amp;","&amp;ADDRESS(ROW('Template SUB_HPL_HeatProd'!I5),COLUMN('Template SUB_HPL_HeatProd'!I5),4,1)</f>
        <v>H5,I5</v>
      </c>
      <c r="E18" s="26" t="s">
        <v>434</v>
      </c>
    </row>
    <row r="19" spans="1:5" s="27" customFormat="1" ht="13.2">
      <c r="A19" s="28">
        <v>42991</v>
      </c>
      <c r="B19" s="26" t="s">
        <v>91</v>
      </c>
      <c r="C19" s="26" t="s">
        <v>436</v>
      </c>
      <c r="D19" s="26" t="str">
        <f>ADDRESS(ROW('Template TAX_HPL_HeatProd'!H5),COLUMN('Template TAX_HPL_HeatProd'!H5),4,1)&amp;","&amp;ADDRESS(ROW('Template TAX_HPL_HeatProd'!I5),COLUMN('Template TAX_HPL_HeatProd'!I5),4,1)</f>
        <v>H5,I5</v>
      </c>
      <c r="E19" s="26" t="s">
        <v>434</v>
      </c>
    </row>
    <row r="20" spans="1:5" s="27" customFormat="1" ht="13.2">
      <c r="A20" s="28">
        <v>42991</v>
      </c>
      <c r="B20" s="26" t="s">
        <v>91</v>
      </c>
      <c r="C20" s="26" t="s">
        <v>209</v>
      </c>
      <c r="D20" s="26" t="str">
        <f>ADDRESS(ROW(Template_TAX_CHP!H5),COLUMN(Template_TAX_CHP!H5),4,1)&amp;","&amp;ADDRESS(ROW(Template_TAX_CHP!I5),COLUMN(Template_TAX_CHP!I5),4,1)</f>
        <v>H5,I5</v>
      </c>
      <c r="E20" s="26" t="s">
        <v>434</v>
      </c>
    </row>
    <row r="21" spans="1:5" s="27" customFormat="1" ht="13.2">
      <c r="A21" s="28">
        <v>42991</v>
      </c>
      <c r="B21" s="26" t="s">
        <v>91</v>
      </c>
      <c r="C21" s="26" t="s">
        <v>208</v>
      </c>
      <c r="D21" s="26" t="str">
        <f>ADDRESS(ROW(Template_SUB_RNW_ElcProd!H5),COLUMN(Template_SUB_RNW_ElcProd!H5),4,1)&amp;","&amp;ADDRESS(ROW(Template_SUB_RNW_ElcProd!I5),COLUMN(Template_SUB_RNW_ElcProd!I5),4,1)</f>
        <v>H5,I5</v>
      </c>
      <c r="E21" s="26" t="s">
        <v>434</v>
      </c>
    </row>
    <row r="22" spans="1:5" s="27" customFormat="1" ht="13.2">
      <c r="A22" s="28">
        <v>42991</v>
      </c>
      <c r="B22" s="26" t="s">
        <v>91</v>
      </c>
      <c r="C22" s="26" t="s">
        <v>207</v>
      </c>
      <c r="D22" s="26" t="str">
        <f>ADDRESS(ROW(Template_SUB_CHP!H5),COLUMN(Template_SUB_CHP!H5),4,1)&amp;","&amp;ADDRESS(ROW(Template_SUB_CHP!I5),COLUMN(Template_SUB_CHP!I5),4,1)&amp;","&amp;ADDRESS(ROW(Template_SUB_CHP!Q5),COLUMN(Template_SUB_CHP!Q5),4,1)&amp;","&amp;ADDRESS(ROW(Template_SUB_CHP!R5),COLUMN(Template_SUB_CHP!R5),4,1)&amp;","&amp;ADDRESS(ROW(Template_SUB_CHP!AA5),COLUMN(Template_SUB_CHP!AA5),4,1)&amp;","&amp;ADDRESS(ROW(Template_SUB_CHP!AB5),COLUMN(Template_SUB_CHP!AB5),4,1)</f>
        <v>H5,I5,Q5,R5,AA5,AB5</v>
      </c>
      <c r="E22" s="26" t="s">
        <v>434</v>
      </c>
    </row>
    <row r="23" spans="1:5" s="27" customFormat="1" ht="13.2">
      <c r="A23" s="28">
        <v>42991</v>
      </c>
      <c r="B23" s="26" t="s">
        <v>91</v>
      </c>
      <c r="C23" s="26" t="s">
        <v>435</v>
      </c>
      <c r="D23" s="26" t="str">
        <f>ADDRESS(ROW(Sub_Biogas!H8),COLUMN(Sub_Biogas!H8),4,1)&amp;","&amp;ADDRESS(ROW(Sub_Biogas!I8),COLUMN(Sub_Biogas!I8),4,1)</f>
        <v>H8,I8</v>
      </c>
      <c r="E23" s="26" t="s">
        <v>434</v>
      </c>
    </row>
    <row r="24" spans="1:5" s="27" customFormat="1" ht="13.2">
      <c r="A24" s="28">
        <v>42991</v>
      </c>
      <c r="B24" s="26" t="s">
        <v>91</v>
      </c>
      <c r="C24" s="26" t="s">
        <v>202</v>
      </c>
      <c r="D24" s="26" t="str">
        <f>ADDRESS(ROW('Sub_CHP-Bio_Old'!I298),COLUMN('Sub_CHP-Bio_Old'!I298),4,1)&amp;","&amp;ADDRESS(ROW('Sub_CHP-Bio_Old'!J298),COLUMN('Sub_CHP-Bio_Old'!J298),4,1)&amp;","&amp;ADDRESS(ROW('Sub_CHP-Bio_Old'!I442),COLUMN('Sub_CHP-Bio_Old'!I442),4,1)&amp;","&amp;ADDRESS(ROW('Sub_CHP-Bio_Old'!J442),COLUMN('Sub_CHP-Bio_Old'!J442),4,1)</f>
        <v>I298,J298,I442,J442</v>
      </c>
      <c r="E24" s="26" t="s">
        <v>434</v>
      </c>
    </row>
    <row r="25" spans="1:5" s="27" customFormat="1" ht="13.2">
      <c r="A25" s="28">
        <v>42991</v>
      </c>
      <c r="B25" s="26" t="s">
        <v>91</v>
      </c>
      <c r="C25" s="26" t="s">
        <v>202</v>
      </c>
      <c r="D25" s="26" t="str">
        <f>ADDRESS(ROW('Sub_CHP-Bio_Old'!I17),COLUMN('Sub_CHP-Bio_Old'!I17),4,1)&amp;","&amp;ADDRESS(ROW('Sub_CHP-Bio_Old'!J17),COLUMN('Sub_CHP-Bio_Old'!J17),4,1)</f>
        <v>I17,J17</v>
      </c>
      <c r="E25" s="26" t="s">
        <v>434</v>
      </c>
    </row>
    <row r="26" spans="1:5" s="27" customFormat="1">
      <c r="A26" s="149">
        <v>42954</v>
      </c>
      <c r="B26" s="27" t="s">
        <v>293</v>
      </c>
      <c r="C26" s="27" t="s">
        <v>294</v>
      </c>
      <c r="D26" s="27" t="s">
        <v>295</v>
      </c>
      <c r="E26" s="27" t="s">
        <v>430</v>
      </c>
    </row>
    <row r="27" spans="1:5" s="27" customFormat="1">
      <c r="A27" s="149">
        <v>42954</v>
      </c>
      <c r="B27" s="27" t="s">
        <v>293</v>
      </c>
      <c r="C27" s="27" t="s">
        <v>294</v>
      </c>
      <c r="D27" s="27" t="s">
        <v>295</v>
      </c>
      <c r="E27" s="27" t="s">
        <v>431</v>
      </c>
    </row>
    <row r="28" spans="1:5" s="27" customFormat="1" ht="13.2">
      <c r="A28" s="28">
        <v>42629</v>
      </c>
      <c r="B28" s="26" t="s">
        <v>280</v>
      </c>
      <c r="C28" s="26" t="s">
        <v>92</v>
      </c>
      <c r="D28" s="26" t="str">
        <f>ADDRESS(ROW(TAX_HPL_FuelInput!B4),COLUMN(TAX_HPL_FuelInput!B4),4,1)</f>
        <v>B4</v>
      </c>
      <c r="E28" s="26" t="s">
        <v>281</v>
      </c>
    </row>
    <row r="29" spans="1:5" s="27" customFormat="1" ht="13.2">
      <c r="A29" s="28">
        <v>42552</v>
      </c>
      <c r="B29" s="26" t="s">
        <v>221</v>
      </c>
      <c r="C29" s="26" t="s">
        <v>202</v>
      </c>
      <c r="D29" s="26" t="e">
        <f>ADDRESS(ROW('Sub_CHP-Bio_Old'!#REF!),COLUMN('Sub_CHP-Bio_Old'!#REF!),4,1)&amp;":"&amp;ADDRESS(ROW('Sub_CHP-Bio_Old'!I16),COLUMN('Sub_CHP-Bio_Old'!I16),4,1)</f>
        <v>#REF!</v>
      </c>
      <c r="E29" s="26" t="s">
        <v>223</v>
      </c>
    </row>
    <row r="30" spans="1:5" s="27" customFormat="1" ht="13.2">
      <c r="A30" s="28">
        <v>42552</v>
      </c>
      <c r="B30" s="26" t="s">
        <v>221</v>
      </c>
      <c r="C30" s="26" t="s">
        <v>222</v>
      </c>
      <c r="D30" s="26" t="str">
        <f>ADDRESS(ROW('Dact Sub_Win_Sol'!B46),COLUMN('Dact Sub_Win_Sol'!B46),4,1)&amp;":"&amp;ADDRESS(ROW('Dact Sub_Win_Sol'!L54),COLUMN('Dact Sub_Win_Sol'!L54),4,1)</f>
        <v>B46:L54</v>
      </c>
      <c r="E30" s="26" t="s">
        <v>224</v>
      </c>
    </row>
    <row r="31" spans="1:5">
      <c r="A31" s="54">
        <v>42509</v>
      </c>
      <c r="B31" t="s">
        <v>192</v>
      </c>
      <c r="C31" t="s">
        <v>205</v>
      </c>
      <c r="E31" t="s">
        <v>206</v>
      </c>
    </row>
    <row r="32" spans="1:5">
      <c r="A32" s="54">
        <v>42509</v>
      </c>
      <c r="B32" t="s">
        <v>192</v>
      </c>
      <c r="E32" t="s">
        <v>193</v>
      </c>
    </row>
    <row r="33" spans="1:5" s="27" customFormat="1" ht="13.2">
      <c r="A33" s="28">
        <v>41968</v>
      </c>
      <c r="B33" s="26" t="s">
        <v>91</v>
      </c>
      <c r="C33" s="26" t="s">
        <v>92</v>
      </c>
      <c r="D33" s="26" t="str">
        <f>ADDRESS(ROW(TAX_HPL_FuelInput!E5),COLUMN(TAX_HPL_FuelInput!E5),4,1)</f>
        <v>E5</v>
      </c>
      <c r="E33" s="26" t="s">
        <v>93</v>
      </c>
    </row>
    <row r="34" spans="1:5">
      <c r="A34" s="17">
        <v>41824</v>
      </c>
      <c r="B34" t="s">
        <v>0</v>
      </c>
      <c r="D34" t="s">
        <v>40</v>
      </c>
      <c r="E34" t="s">
        <v>41</v>
      </c>
    </row>
    <row r="35" spans="1:5">
      <c r="A35" s="17">
        <v>41898</v>
      </c>
      <c r="B35" t="s">
        <v>0</v>
      </c>
      <c r="D35" t="s">
        <v>40</v>
      </c>
      <c r="E35" t="s">
        <v>41</v>
      </c>
    </row>
    <row r="36" spans="1:5">
      <c r="A36" s="17">
        <v>41901</v>
      </c>
      <c r="B36" t="s">
        <v>0</v>
      </c>
      <c r="C36" t="s">
        <v>88</v>
      </c>
      <c r="E36" t="s">
        <v>89</v>
      </c>
    </row>
    <row r="37" spans="1:5">
      <c r="A37" s="17">
        <v>42426</v>
      </c>
      <c r="B37" t="s">
        <v>155</v>
      </c>
      <c r="C37" t="s">
        <v>156</v>
      </c>
      <c r="D37" t="s">
        <v>40</v>
      </c>
      <c r="E37" t="s">
        <v>157</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B2:T580"/>
  <sheetViews>
    <sheetView topLeftCell="A69" zoomScaleNormal="100" workbookViewId="0">
      <selection activeCell="F91" sqref="F91"/>
    </sheetView>
  </sheetViews>
  <sheetFormatPr defaultColWidth="8.88671875" defaultRowHeight="12.6"/>
  <cols>
    <col min="2" max="2" width="10.44140625" customWidth="1"/>
    <col min="3" max="3" width="15.88671875" customWidth="1"/>
    <col min="4" max="5" width="10.44140625" customWidth="1"/>
    <col min="6" max="6" width="38.109375" customWidth="1"/>
    <col min="7" max="7" width="21.44140625" customWidth="1"/>
    <col min="8" max="10" width="10.44140625" customWidth="1"/>
    <col min="16" max="16" width="20.33203125" bestFit="1" customWidth="1"/>
    <col min="20" max="20" width="9.44140625" bestFit="1" customWidth="1"/>
  </cols>
  <sheetData>
    <row r="2" spans="2:19" ht="23.4">
      <c r="B2" s="25" t="s">
        <v>153</v>
      </c>
    </row>
    <row r="4" spans="2:19" ht="22.8">
      <c r="B4" s="31" t="s">
        <v>66</v>
      </c>
    </row>
    <row r="6" spans="2:19">
      <c r="B6" s="40" t="s">
        <v>188</v>
      </c>
      <c r="C6" s="40"/>
      <c r="D6" s="40"/>
      <c r="E6" s="40"/>
      <c r="F6" s="40"/>
      <c r="G6" s="40"/>
      <c r="H6" s="40"/>
      <c r="I6" s="40"/>
      <c r="J6" s="40"/>
      <c r="K6" s="40"/>
      <c r="L6" s="40"/>
      <c r="M6" s="40"/>
      <c r="R6" t="s">
        <v>393</v>
      </c>
    </row>
    <row r="7" spans="2:19">
      <c r="B7" s="40"/>
      <c r="C7" s="40"/>
      <c r="D7" s="40"/>
      <c r="E7" s="40"/>
      <c r="F7" s="40"/>
      <c r="G7" s="40"/>
      <c r="H7" s="40"/>
      <c r="I7" s="40"/>
      <c r="J7" s="40"/>
      <c r="K7" s="40"/>
      <c r="L7" s="40"/>
      <c r="M7" s="40"/>
    </row>
    <row r="8" spans="2:19" ht="13.8">
      <c r="B8" s="40"/>
      <c r="C8" s="40">
        <v>15</v>
      </c>
      <c r="D8" s="40" t="s">
        <v>152</v>
      </c>
      <c r="E8" s="40" t="s">
        <v>151</v>
      </c>
      <c r="F8" s="40"/>
      <c r="G8" s="40"/>
      <c r="H8" s="40"/>
      <c r="I8" s="40"/>
      <c r="J8" s="40"/>
      <c r="K8" s="40"/>
      <c r="L8" s="40"/>
      <c r="M8" s="40"/>
      <c r="R8" s="259" t="s">
        <v>394</v>
      </c>
      <c r="S8" s="259" t="s">
        <v>395</v>
      </c>
    </row>
    <row r="9" spans="2:19">
      <c r="B9" s="40"/>
      <c r="C9" s="40"/>
      <c r="D9" s="40"/>
      <c r="E9" s="40"/>
      <c r="F9" s="40"/>
      <c r="G9" s="40"/>
      <c r="H9" s="40"/>
      <c r="I9" s="40"/>
      <c r="J9" s="40"/>
      <c r="K9" s="40"/>
      <c r="L9" s="40"/>
      <c r="M9" s="40"/>
      <c r="R9" s="260" t="s">
        <v>394</v>
      </c>
      <c r="S9" s="260" t="s">
        <v>395</v>
      </c>
    </row>
    <row r="10" spans="2:19">
      <c r="B10" s="40" t="s">
        <v>428</v>
      </c>
      <c r="C10" s="40"/>
      <c r="D10" s="40"/>
      <c r="E10" s="40"/>
      <c r="F10" s="40"/>
      <c r="G10" s="40"/>
      <c r="H10" s="40"/>
      <c r="I10" s="40"/>
      <c r="J10" s="40"/>
      <c r="K10" s="40"/>
      <c r="L10" s="40"/>
      <c r="M10" s="40"/>
      <c r="R10" s="260"/>
      <c r="S10" s="260"/>
    </row>
    <row r="11" spans="2:19">
      <c r="B11" s="40" t="s">
        <v>429</v>
      </c>
      <c r="C11" s="40"/>
      <c r="D11" s="40"/>
      <c r="E11" s="40"/>
      <c r="F11" s="40"/>
      <c r="G11" s="40"/>
      <c r="H11" s="40"/>
      <c r="I11" s="40"/>
      <c r="J11" s="40"/>
      <c r="K11" s="40"/>
      <c r="L11" s="40"/>
      <c r="M11" s="40"/>
      <c r="R11" s="260"/>
      <c r="S11" s="260"/>
    </row>
    <row r="12" spans="2:19">
      <c r="B12" s="49"/>
      <c r="C12" s="49"/>
      <c r="D12" s="49"/>
      <c r="E12" s="49"/>
      <c r="F12" s="49"/>
      <c r="G12" s="49"/>
      <c r="H12" s="49"/>
      <c r="I12" s="49"/>
      <c r="J12" s="49"/>
      <c r="K12" s="49"/>
      <c r="L12" s="49"/>
      <c r="M12" s="49"/>
      <c r="R12" s="260"/>
      <c r="S12" s="260"/>
    </row>
    <row r="13" spans="2:19">
      <c r="B13" s="49"/>
      <c r="C13" s="49"/>
      <c r="D13" s="49"/>
      <c r="E13" s="49"/>
      <c r="F13" s="49"/>
      <c r="G13" s="49"/>
      <c r="H13" s="49"/>
      <c r="I13" s="49"/>
      <c r="J13" s="49"/>
      <c r="K13" s="49"/>
      <c r="L13" s="49"/>
      <c r="M13" s="49"/>
      <c r="R13" s="260"/>
      <c r="S13" s="260"/>
    </row>
    <row r="14" spans="2:19" ht="14.4">
      <c r="B14" s="261"/>
      <c r="C14" s="262"/>
      <c r="D14" s="262"/>
      <c r="E14" s="262"/>
      <c r="F14" s="262"/>
      <c r="G14" s="262"/>
      <c r="H14" s="262"/>
      <c r="R14" s="260"/>
      <c r="S14" s="260"/>
    </row>
    <row r="15" spans="2:19">
      <c r="K15" s="10"/>
      <c r="P15" t="s">
        <v>396</v>
      </c>
      <c r="Q15" s="263">
        <v>0.05</v>
      </c>
    </row>
    <row r="16" spans="2:19" ht="14.4">
      <c r="B16" s="261" t="s">
        <v>90</v>
      </c>
      <c r="C16" s="264"/>
      <c r="D16" s="264"/>
      <c r="E16" s="264"/>
      <c r="F16" s="264"/>
      <c r="G16" s="264"/>
      <c r="H16" s="264"/>
      <c r="K16" s="10"/>
    </row>
    <row r="17" spans="2:20" ht="13.8" thickBot="1">
      <c r="B17" s="265" t="s">
        <v>4</v>
      </c>
      <c r="C17" s="265" t="s">
        <v>5</v>
      </c>
      <c r="D17" s="265" t="s">
        <v>1</v>
      </c>
      <c r="E17" s="266" t="s">
        <v>46</v>
      </c>
      <c r="F17" s="266" t="s">
        <v>7</v>
      </c>
      <c r="G17" s="267" t="s">
        <v>6</v>
      </c>
      <c r="H17" s="268" t="s">
        <v>43</v>
      </c>
      <c r="I17" s="268" t="s">
        <v>432</v>
      </c>
      <c r="J17" s="270" t="s">
        <v>433</v>
      </c>
      <c r="K17" s="269"/>
      <c r="M17" s="270" t="s">
        <v>189</v>
      </c>
      <c r="P17" s="13" t="s">
        <v>397</v>
      </c>
      <c r="Q17" s="13" t="s">
        <v>398</v>
      </c>
      <c r="R17" s="13" t="s">
        <v>399</v>
      </c>
      <c r="S17" s="13" t="s">
        <v>400</v>
      </c>
      <c r="T17" s="13" t="s">
        <v>401</v>
      </c>
    </row>
    <row r="18" spans="2:20">
      <c r="C18" s="191" t="s">
        <v>48</v>
      </c>
      <c r="D18" s="191">
        <v>2010</v>
      </c>
      <c r="E18" s="191"/>
      <c r="F18" s="193" t="s">
        <v>402</v>
      </c>
      <c r="G18" t="s">
        <v>154</v>
      </c>
      <c r="H18" s="193" t="s">
        <v>285</v>
      </c>
      <c r="I18" s="271">
        <f>L18</f>
        <v>15</v>
      </c>
      <c r="J18" s="271">
        <f>I18</f>
        <v>15</v>
      </c>
      <c r="K18" s="10"/>
      <c r="L18" s="194">
        <f>T18</f>
        <v>15</v>
      </c>
      <c r="M18" t="s">
        <v>190</v>
      </c>
      <c r="P18" t="s">
        <v>402</v>
      </c>
      <c r="Q18">
        <v>0.41</v>
      </c>
      <c r="R18" t="s">
        <v>403</v>
      </c>
      <c r="S18">
        <f t="shared" ref="S18:S82" si="0">IF(R18="FX",Q18,Q18-$Q$15)</f>
        <v>0.36</v>
      </c>
      <c r="T18" s="14">
        <f>($C$8*S18)/0.0036/100</f>
        <v>15</v>
      </c>
    </row>
    <row r="19" spans="2:20">
      <c r="C19" s="191" t="s">
        <v>48</v>
      </c>
      <c r="D19" s="191">
        <v>2018</v>
      </c>
      <c r="E19" s="191"/>
      <c r="F19" s="193" t="s">
        <v>402</v>
      </c>
      <c r="G19" t="s">
        <v>154</v>
      </c>
      <c r="H19" s="193" t="s">
        <v>285</v>
      </c>
      <c r="I19" s="271">
        <f t="shared" ref="I19:I83" si="1">L19</f>
        <v>15</v>
      </c>
      <c r="J19" s="271">
        <f t="shared" ref="J19:J83" si="2">I19</f>
        <v>15</v>
      </c>
      <c r="L19" s="272">
        <f>L18</f>
        <v>15</v>
      </c>
      <c r="P19" t="s">
        <v>402</v>
      </c>
      <c r="Q19">
        <v>0.41</v>
      </c>
      <c r="R19" t="s">
        <v>403</v>
      </c>
      <c r="S19">
        <f t="shared" si="0"/>
        <v>0.36</v>
      </c>
      <c r="T19">
        <v>0</v>
      </c>
    </row>
    <row r="20" spans="2:20">
      <c r="C20" s="191" t="s">
        <v>48</v>
      </c>
      <c r="D20" s="191">
        <v>2019</v>
      </c>
      <c r="E20" s="191"/>
      <c r="F20" s="193" t="s">
        <v>402</v>
      </c>
      <c r="G20" t="s">
        <v>154</v>
      </c>
      <c r="H20" s="193" t="s">
        <v>285</v>
      </c>
      <c r="I20" s="271">
        <f t="shared" si="1"/>
        <v>0</v>
      </c>
      <c r="J20" s="271">
        <f t="shared" si="2"/>
        <v>0</v>
      </c>
      <c r="L20" s="194">
        <f t="shared" ref="L20:L84" si="3">T20</f>
        <v>0</v>
      </c>
      <c r="P20" t="s">
        <v>402</v>
      </c>
      <c r="Q20">
        <v>0.41</v>
      </c>
      <c r="R20" t="s">
        <v>403</v>
      </c>
      <c r="S20">
        <f>IF(R20="FX",Q20,Q20-$Q$15)</f>
        <v>0.36</v>
      </c>
      <c r="T20">
        <v>0</v>
      </c>
    </row>
    <row r="21" spans="2:20">
      <c r="C21" s="191" t="s">
        <v>48</v>
      </c>
      <c r="D21" s="191">
        <v>2010</v>
      </c>
      <c r="E21" s="191"/>
      <c r="F21" s="193" t="s">
        <v>404</v>
      </c>
      <c r="G21" t="s">
        <v>154</v>
      </c>
      <c r="H21" s="193" t="s">
        <v>285</v>
      </c>
      <c r="I21" s="271">
        <f t="shared" si="1"/>
        <v>12.083333333333332</v>
      </c>
      <c r="J21" s="271">
        <f t="shared" si="2"/>
        <v>12.083333333333332</v>
      </c>
      <c r="L21" s="194">
        <f t="shared" si="3"/>
        <v>12.083333333333332</v>
      </c>
      <c r="P21" t="s">
        <v>404</v>
      </c>
      <c r="Q21">
        <v>0.28999999999999998</v>
      </c>
      <c r="R21" t="s">
        <v>405</v>
      </c>
      <c r="S21">
        <f t="shared" si="0"/>
        <v>0.28999999999999998</v>
      </c>
      <c r="T21">
        <f t="shared" ref="T21:T122" si="4">($C$8*S21)/0.0036/100</f>
        <v>12.083333333333332</v>
      </c>
    </row>
    <row r="22" spans="2:20">
      <c r="C22" s="191" t="s">
        <v>48</v>
      </c>
      <c r="D22" s="191">
        <v>2018</v>
      </c>
      <c r="E22" s="191"/>
      <c r="F22" s="193" t="s">
        <v>404</v>
      </c>
      <c r="G22" t="s">
        <v>154</v>
      </c>
      <c r="H22" s="193" t="s">
        <v>285</v>
      </c>
      <c r="I22" s="271">
        <f t="shared" si="1"/>
        <v>12.083333333333332</v>
      </c>
      <c r="J22" s="271">
        <f t="shared" si="2"/>
        <v>12.083333333333332</v>
      </c>
      <c r="L22" s="194">
        <f t="shared" si="3"/>
        <v>12.083333333333332</v>
      </c>
      <c r="P22" t="s">
        <v>404</v>
      </c>
      <c r="Q22">
        <v>0.28999999999999998</v>
      </c>
      <c r="R22" t="s">
        <v>405</v>
      </c>
      <c r="S22">
        <f t="shared" si="0"/>
        <v>0.28999999999999998</v>
      </c>
      <c r="T22">
        <f t="shared" si="4"/>
        <v>12.083333333333332</v>
      </c>
    </row>
    <row r="23" spans="2:20">
      <c r="C23" s="191" t="s">
        <v>48</v>
      </c>
      <c r="D23" s="191">
        <v>2019</v>
      </c>
      <c r="E23" s="191"/>
      <c r="F23" s="193" t="s">
        <v>404</v>
      </c>
      <c r="G23" t="s">
        <v>154</v>
      </c>
      <c r="H23" s="193" t="s">
        <v>285</v>
      </c>
      <c r="I23" s="271">
        <f t="shared" si="1"/>
        <v>0</v>
      </c>
      <c r="J23" s="271">
        <f t="shared" si="2"/>
        <v>0</v>
      </c>
      <c r="L23" s="194">
        <f t="shared" si="3"/>
        <v>0</v>
      </c>
      <c r="P23" t="s">
        <v>404</v>
      </c>
      <c r="Q23">
        <v>0.28999999999999998</v>
      </c>
      <c r="R23" t="s">
        <v>405</v>
      </c>
      <c r="S23">
        <f t="shared" si="0"/>
        <v>0.28999999999999998</v>
      </c>
      <c r="T23">
        <v>0</v>
      </c>
    </row>
    <row r="24" spans="2:20">
      <c r="C24" s="191" t="s">
        <v>48</v>
      </c>
      <c r="D24" s="191">
        <v>2010</v>
      </c>
      <c r="E24" s="191"/>
      <c r="F24" s="193" t="s">
        <v>406</v>
      </c>
      <c r="G24" t="s">
        <v>154</v>
      </c>
      <c r="H24" s="193" t="s">
        <v>285</v>
      </c>
      <c r="I24" s="271">
        <f t="shared" si="1"/>
        <v>12.083333333333332</v>
      </c>
      <c r="J24" s="271">
        <f t="shared" si="2"/>
        <v>12.083333333333332</v>
      </c>
      <c r="L24" s="194">
        <f t="shared" si="3"/>
        <v>12.083333333333332</v>
      </c>
      <c r="P24" t="s">
        <v>406</v>
      </c>
      <c r="Q24">
        <v>0.28999999999999998</v>
      </c>
      <c r="R24" t="s">
        <v>405</v>
      </c>
      <c r="S24">
        <f t="shared" si="0"/>
        <v>0.28999999999999998</v>
      </c>
      <c r="T24">
        <f t="shared" si="4"/>
        <v>12.083333333333332</v>
      </c>
    </row>
    <row r="25" spans="2:20">
      <c r="C25" s="191" t="s">
        <v>48</v>
      </c>
      <c r="D25" s="191">
        <v>2018</v>
      </c>
      <c r="E25" s="191"/>
      <c r="F25" s="193" t="s">
        <v>406</v>
      </c>
      <c r="G25" t="s">
        <v>154</v>
      </c>
      <c r="H25" s="193" t="s">
        <v>285</v>
      </c>
      <c r="I25" s="271">
        <f t="shared" si="1"/>
        <v>12.083333333333332</v>
      </c>
      <c r="J25" s="271">
        <f t="shared" si="2"/>
        <v>12.083333333333332</v>
      </c>
      <c r="L25" s="194">
        <f t="shared" si="3"/>
        <v>12.083333333333332</v>
      </c>
      <c r="P25" t="s">
        <v>406</v>
      </c>
      <c r="Q25">
        <v>0.28999999999999998</v>
      </c>
      <c r="R25" t="s">
        <v>405</v>
      </c>
      <c r="S25">
        <f t="shared" si="0"/>
        <v>0.28999999999999998</v>
      </c>
      <c r="T25">
        <f t="shared" si="4"/>
        <v>12.083333333333332</v>
      </c>
    </row>
    <row r="26" spans="2:20">
      <c r="C26" s="191" t="s">
        <v>48</v>
      </c>
      <c r="D26" s="191">
        <v>2019</v>
      </c>
      <c r="E26" s="191"/>
      <c r="F26" s="193" t="s">
        <v>406</v>
      </c>
      <c r="G26" t="s">
        <v>154</v>
      </c>
      <c r="H26" s="193" t="s">
        <v>285</v>
      </c>
      <c r="I26" s="271">
        <f t="shared" si="1"/>
        <v>0</v>
      </c>
      <c r="J26" s="271">
        <f t="shared" si="2"/>
        <v>0</v>
      </c>
      <c r="L26" s="194">
        <f t="shared" si="3"/>
        <v>0</v>
      </c>
      <c r="P26" t="s">
        <v>406</v>
      </c>
      <c r="Q26">
        <v>0.28999999999999998</v>
      </c>
      <c r="R26" t="s">
        <v>405</v>
      </c>
      <c r="S26">
        <f t="shared" si="0"/>
        <v>0.28999999999999998</v>
      </c>
      <c r="T26">
        <v>0</v>
      </c>
    </row>
    <row r="27" spans="2:20">
      <c r="C27" s="191" t="s">
        <v>48</v>
      </c>
      <c r="D27" s="191">
        <v>2010</v>
      </c>
      <c r="E27" s="191"/>
      <c r="F27" s="193" t="s">
        <v>407</v>
      </c>
      <c r="G27" t="s">
        <v>154</v>
      </c>
      <c r="H27" s="193" t="s">
        <v>285</v>
      </c>
      <c r="I27" s="271">
        <f t="shared" si="1"/>
        <v>12.291666666666668</v>
      </c>
      <c r="J27" s="271">
        <f t="shared" si="2"/>
        <v>12.291666666666668</v>
      </c>
      <c r="L27" s="194">
        <f t="shared" si="3"/>
        <v>12.291666666666668</v>
      </c>
      <c r="P27" t="s">
        <v>407</v>
      </c>
      <c r="Q27">
        <v>0.29499999999999998</v>
      </c>
      <c r="R27" t="s">
        <v>405</v>
      </c>
      <c r="S27">
        <f t="shared" si="0"/>
        <v>0.29499999999999998</v>
      </c>
      <c r="T27">
        <f t="shared" si="4"/>
        <v>12.291666666666668</v>
      </c>
    </row>
    <row r="28" spans="2:20">
      <c r="C28" s="191" t="s">
        <v>48</v>
      </c>
      <c r="D28" s="191">
        <v>2018</v>
      </c>
      <c r="E28" s="191"/>
      <c r="F28" s="193" t="s">
        <v>407</v>
      </c>
      <c r="G28" t="s">
        <v>154</v>
      </c>
      <c r="H28" s="193" t="s">
        <v>285</v>
      </c>
      <c r="I28" s="271">
        <f t="shared" si="1"/>
        <v>12.291666666666668</v>
      </c>
      <c r="J28" s="271">
        <f t="shared" si="2"/>
        <v>12.291666666666668</v>
      </c>
      <c r="L28" s="194">
        <f t="shared" si="3"/>
        <v>12.291666666666668</v>
      </c>
      <c r="P28" t="s">
        <v>407</v>
      </c>
      <c r="Q28">
        <v>0.29499999999999998</v>
      </c>
      <c r="R28" t="s">
        <v>405</v>
      </c>
      <c r="S28">
        <f t="shared" si="0"/>
        <v>0.29499999999999998</v>
      </c>
      <c r="T28">
        <f t="shared" si="4"/>
        <v>12.291666666666668</v>
      </c>
    </row>
    <row r="29" spans="2:20">
      <c r="C29" s="191" t="s">
        <v>48</v>
      </c>
      <c r="D29" s="191">
        <v>2019</v>
      </c>
      <c r="E29" s="191"/>
      <c r="F29" s="193" t="s">
        <v>407</v>
      </c>
      <c r="G29" t="s">
        <v>154</v>
      </c>
      <c r="H29" s="193" t="s">
        <v>285</v>
      </c>
      <c r="I29" s="271">
        <f t="shared" si="1"/>
        <v>0</v>
      </c>
      <c r="J29" s="271">
        <f t="shared" si="2"/>
        <v>0</v>
      </c>
      <c r="L29" s="194">
        <f t="shared" si="3"/>
        <v>0</v>
      </c>
      <c r="P29" t="s">
        <v>407</v>
      </c>
      <c r="Q29">
        <v>0.29499999999999998</v>
      </c>
      <c r="R29" t="s">
        <v>405</v>
      </c>
      <c r="S29">
        <f t="shared" si="0"/>
        <v>0.29499999999999998</v>
      </c>
      <c r="T29">
        <v>0</v>
      </c>
    </row>
    <row r="30" spans="2:20">
      <c r="C30" s="191" t="s">
        <v>48</v>
      </c>
      <c r="D30" s="191">
        <v>2010</v>
      </c>
      <c r="E30" s="191"/>
      <c r="F30" s="193" t="s">
        <v>407</v>
      </c>
      <c r="G30" t="s">
        <v>154</v>
      </c>
      <c r="H30" s="193" t="s">
        <v>285</v>
      </c>
      <c r="I30" s="271">
        <f t="shared" si="1"/>
        <v>12.291666666666668</v>
      </c>
      <c r="J30" s="271">
        <f t="shared" si="2"/>
        <v>12.291666666666668</v>
      </c>
      <c r="L30" s="194">
        <f t="shared" si="3"/>
        <v>12.291666666666668</v>
      </c>
      <c r="P30" t="s">
        <v>407</v>
      </c>
      <c r="Q30">
        <v>0.29499999999999998</v>
      </c>
      <c r="R30" t="s">
        <v>405</v>
      </c>
      <c r="S30">
        <f t="shared" si="0"/>
        <v>0.29499999999999998</v>
      </c>
      <c r="T30">
        <f t="shared" si="4"/>
        <v>12.291666666666668</v>
      </c>
    </row>
    <row r="31" spans="2:20">
      <c r="C31" s="191" t="s">
        <v>48</v>
      </c>
      <c r="D31" s="191">
        <v>2018</v>
      </c>
      <c r="E31" s="191"/>
      <c r="F31" s="193" t="s">
        <v>407</v>
      </c>
      <c r="G31" t="s">
        <v>154</v>
      </c>
      <c r="H31" s="193" t="s">
        <v>285</v>
      </c>
      <c r="I31" s="271">
        <f t="shared" si="1"/>
        <v>12.291666666666668</v>
      </c>
      <c r="J31" s="271">
        <f t="shared" si="2"/>
        <v>12.291666666666668</v>
      </c>
      <c r="L31" s="194">
        <f t="shared" si="3"/>
        <v>12.291666666666668</v>
      </c>
      <c r="P31" t="s">
        <v>407</v>
      </c>
      <c r="Q31">
        <v>0.29499999999999998</v>
      </c>
      <c r="R31" t="s">
        <v>405</v>
      </c>
      <c r="S31">
        <f t="shared" si="0"/>
        <v>0.29499999999999998</v>
      </c>
      <c r="T31">
        <f t="shared" si="4"/>
        <v>12.291666666666668</v>
      </c>
    </row>
    <row r="32" spans="2:20">
      <c r="C32" s="191" t="s">
        <v>48</v>
      </c>
      <c r="D32" s="191">
        <v>2019</v>
      </c>
      <c r="E32" s="191"/>
      <c r="F32" s="193" t="s">
        <v>407</v>
      </c>
      <c r="G32" t="s">
        <v>154</v>
      </c>
      <c r="H32" s="193" t="s">
        <v>285</v>
      </c>
      <c r="I32" s="271">
        <f t="shared" si="1"/>
        <v>0</v>
      </c>
      <c r="J32" s="271">
        <f t="shared" si="2"/>
        <v>0</v>
      </c>
      <c r="L32" s="194">
        <f t="shared" si="3"/>
        <v>0</v>
      </c>
      <c r="P32" t="s">
        <v>407</v>
      </c>
      <c r="Q32">
        <v>0.29499999999999998</v>
      </c>
      <c r="R32" t="s">
        <v>405</v>
      </c>
      <c r="S32">
        <f t="shared" si="0"/>
        <v>0.29499999999999998</v>
      </c>
      <c r="T32">
        <v>0</v>
      </c>
    </row>
    <row r="33" spans="3:20">
      <c r="C33" s="191" t="s">
        <v>48</v>
      </c>
      <c r="D33" s="191">
        <v>2010</v>
      </c>
      <c r="E33" s="191"/>
      <c r="F33" s="193" t="s">
        <v>408</v>
      </c>
      <c r="G33" t="s">
        <v>154</v>
      </c>
      <c r="H33" s="193" t="s">
        <v>285</v>
      </c>
      <c r="I33" s="271">
        <f t="shared" si="1"/>
        <v>12.083333333333332</v>
      </c>
      <c r="J33" s="271">
        <f t="shared" si="2"/>
        <v>12.083333333333332</v>
      </c>
      <c r="L33" s="194">
        <f t="shared" si="3"/>
        <v>12.083333333333332</v>
      </c>
      <c r="P33" t="s">
        <v>408</v>
      </c>
      <c r="Q33">
        <v>0.28999999999999998</v>
      </c>
      <c r="R33" t="s">
        <v>405</v>
      </c>
      <c r="S33">
        <f t="shared" si="0"/>
        <v>0.28999999999999998</v>
      </c>
      <c r="T33">
        <f t="shared" si="4"/>
        <v>12.083333333333332</v>
      </c>
    </row>
    <row r="34" spans="3:20">
      <c r="C34" s="191" t="s">
        <v>48</v>
      </c>
      <c r="D34" s="191">
        <v>2018</v>
      </c>
      <c r="E34" s="191"/>
      <c r="F34" s="193" t="s">
        <v>408</v>
      </c>
      <c r="G34" t="s">
        <v>154</v>
      </c>
      <c r="H34" s="193" t="s">
        <v>285</v>
      </c>
      <c r="I34" s="271">
        <f t="shared" si="1"/>
        <v>12.083333333333332</v>
      </c>
      <c r="J34" s="271">
        <f t="shared" si="2"/>
        <v>12.083333333333332</v>
      </c>
      <c r="L34" s="194">
        <f t="shared" si="3"/>
        <v>12.083333333333332</v>
      </c>
      <c r="P34" t="s">
        <v>408</v>
      </c>
      <c r="Q34">
        <v>0.28999999999999998</v>
      </c>
      <c r="R34" t="s">
        <v>405</v>
      </c>
      <c r="S34">
        <f t="shared" si="0"/>
        <v>0.28999999999999998</v>
      </c>
      <c r="T34">
        <f t="shared" si="4"/>
        <v>12.083333333333332</v>
      </c>
    </row>
    <row r="35" spans="3:20">
      <c r="C35" s="191" t="s">
        <v>48</v>
      </c>
      <c r="D35" s="191">
        <v>2019</v>
      </c>
      <c r="E35" s="191"/>
      <c r="F35" s="193" t="s">
        <v>408</v>
      </c>
      <c r="G35" t="s">
        <v>154</v>
      </c>
      <c r="H35" s="193" t="s">
        <v>285</v>
      </c>
      <c r="I35" s="271">
        <f t="shared" si="1"/>
        <v>0</v>
      </c>
      <c r="J35" s="271">
        <f t="shared" si="2"/>
        <v>0</v>
      </c>
      <c r="L35" s="194">
        <f t="shared" si="3"/>
        <v>0</v>
      </c>
      <c r="P35" t="s">
        <v>408</v>
      </c>
      <c r="Q35">
        <v>0.28999999999999998</v>
      </c>
      <c r="R35" t="s">
        <v>405</v>
      </c>
      <c r="S35">
        <f t="shared" si="0"/>
        <v>0.28999999999999998</v>
      </c>
      <c r="T35">
        <v>0</v>
      </c>
    </row>
    <row r="36" spans="3:20">
      <c r="C36" s="191" t="s">
        <v>48</v>
      </c>
      <c r="D36" s="191">
        <v>2010</v>
      </c>
      <c r="E36" s="191"/>
      <c r="F36" s="193" t="s">
        <v>409</v>
      </c>
      <c r="G36" t="s">
        <v>154</v>
      </c>
      <c r="H36" s="193" t="s">
        <v>285</v>
      </c>
      <c r="I36" s="271">
        <f t="shared" si="1"/>
        <v>10.416666666666668</v>
      </c>
      <c r="J36" s="271">
        <f t="shared" si="2"/>
        <v>10.416666666666668</v>
      </c>
      <c r="L36" s="194">
        <f t="shared" si="3"/>
        <v>10.416666666666668</v>
      </c>
      <c r="P36" t="s">
        <v>409</v>
      </c>
      <c r="Q36">
        <v>0.25</v>
      </c>
      <c r="R36" t="s">
        <v>405</v>
      </c>
      <c r="S36">
        <f t="shared" si="0"/>
        <v>0.25</v>
      </c>
      <c r="T36">
        <f t="shared" si="4"/>
        <v>10.416666666666668</v>
      </c>
    </row>
    <row r="37" spans="3:20">
      <c r="C37" s="191" t="s">
        <v>48</v>
      </c>
      <c r="D37" s="191">
        <v>2018</v>
      </c>
      <c r="E37" s="191"/>
      <c r="F37" s="193" t="s">
        <v>409</v>
      </c>
      <c r="G37" t="s">
        <v>154</v>
      </c>
      <c r="H37" s="193" t="s">
        <v>285</v>
      </c>
      <c r="I37" s="271">
        <f t="shared" si="1"/>
        <v>10.416666666666668</v>
      </c>
      <c r="J37" s="271">
        <f t="shared" si="2"/>
        <v>10.416666666666668</v>
      </c>
      <c r="L37" s="194">
        <f t="shared" si="3"/>
        <v>10.416666666666668</v>
      </c>
      <c r="P37" t="s">
        <v>409</v>
      </c>
      <c r="Q37">
        <v>0.25</v>
      </c>
      <c r="R37" t="s">
        <v>405</v>
      </c>
      <c r="S37">
        <f t="shared" si="0"/>
        <v>0.25</v>
      </c>
      <c r="T37">
        <f t="shared" si="4"/>
        <v>10.416666666666668</v>
      </c>
    </row>
    <row r="38" spans="3:20">
      <c r="C38" s="191" t="s">
        <v>48</v>
      </c>
      <c r="D38" s="191">
        <v>2019</v>
      </c>
      <c r="E38" s="191"/>
      <c r="F38" s="193" t="s">
        <v>409</v>
      </c>
      <c r="G38" t="s">
        <v>154</v>
      </c>
      <c r="H38" s="193" t="s">
        <v>285</v>
      </c>
      <c r="I38" s="271">
        <f t="shared" si="1"/>
        <v>0</v>
      </c>
      <c r="J38" s="271">
        <f t="shared" si="2"/>
        <v>0</v>
      </c>
      <c r="L38" s="194">
        <f t="shared" si="3"/>
        <v>0</v>
      </c>
      <c r="P38" t="s">
        <v>409</v>
      </c>
      <c r="Q38">
        <v>0.25</v>
      </c>
      <c r="R38" t="s">
        <v>405</v>
      </c>
      <c r="S38">
        <f t="shared" si="0"/>
        <v>0.25</v>
      </c>
      <c r="T38">
        <v>0</v>
      </c>
    </row>
    <row r="39" spans="3:20">
      <c r="C39" s="191" t="s">
        <v>48</v>
      </c>
      <c r="D39" s="191">
        <v>2010</v>
      </c>
      <c r="E39" s="191"/>
      <c r="F39" s="193" t="s">
        <v>410</v>
      </c>
      <c r="G39" t="s">
        <v>154</v>
      </c>
      <c r="H39" s="193" t="s">
        <v>285</v>
      </c>
      <c r="I39" s="271">
        <f t="shared" si="1"/>
        <v>12.083333333333332</v>
      </c>
      <c r="J39" s="271">
        <f t="shared" si="2"/>
        <v>12.083333333333332</v>
      </c>
      <c r="L39" s="194">
        <f t="shared" si="3"/>
        <v>12.083333333333332</v>
      </c>
      <c r="P39" t="s">
        <v>410</v>
      </c>
      <c r="Q39">
        <v>0.28999999999999998</v>
      </c>
      <c r="R39" t="s">
        <v>405</v>
      </c>
      <c r="S39">
        <f t="shared" si="0"/>
        <v>0.28999999999999998</v>
      </c>
      <c r="T39">
        <f t="shared" si="4"/>
        <v>12.083333333333332</v>
      </c>
    </row>
    <row r="40" spans="3:20">
      <c r="C40" s="191" t="s">
        <v>48</v>
      </c>
      <c r="D40" s="191">
        <v>2018</v>
      </c>
      <c r="E40" s="191"/>
      <c r="F40" s="193" t="s">
        <v>410</v>
      </c>
      <c r="G40" t="s">
        <v>154</v>
      </c>
      <c r="H40" s="193" t="s">
        <v>285</v>
      </c>
      <c r="I40" s="271">
        <f t="shared" si="1"/>
        <v>12.083333333333332</v>
      </c>
      <c r="J40" s="271">
        <f t="shared" si="2"/>
        <v>12.083333333333332</v>
      </c>
      <c r="L40" s="194">
        <f t="shared" si="3"/>
        <v>12.083333333333332</v>
      </c>
      <c r="P40" t="s">
        <v>410</v>
      </c>
      <c r="Q40">
        <v>0.28999999999999998</v>
      </c>
      <c r="R40" t="s">
        <v>405</v>
      </c>
      <c r="S40">
        <f t="shared" si="0"/>
        <v>0.28999999999999998</v>
      </c>
      <c r="T40">
        <f t="shared" si="4"/>
        <v>12.083333333333332</v>
      </c>
    </row>
    <row r="41" spans="3:20">
      <c r="C41" s="191" t="s">
        <v>48</v>
      </c>
      <c r="D41" s="191">
        <v>2019</v>
      </c>
      <c r="E41" s="191"/>
      <c r="F41" s="193" t="s">
        <v>410</v>
      </c>
      <c r="G41" t="s">
        <v>154</v>
      </c>
      <c r="H41" s="193" t="s">
        <v>285</v>
      </c>
      <c r="I41" s="271">
        <f t="shared" si="1"/>
        <v>0</v>
      </c>
      <c r="J41" s="271">
        <f t="shared" si="2"/>
        <v>0</v>
      </c>
      <c r="L41" s="194">
        <f t="shared" si="3"/>
        <v>0</v>
      </c>
      <c r="P41" t="s">
        <v>410</v>
      </c>
      <c r="Q41">
        <v>0.28999999999999998</v>
      </c>
      <c r="R41" t="s">
        <v>405</v>
      </c>
      <c r="S41">
        <f t="shared" si="0"/>
        <v>0.28999999999999998</v>
      </c>
      <c r="T41">
        <v>0</v>
      </c>
    </row>
    <row r="42" spans="3:20">
      <c r="C42" s="191" t="s">
        <v>48</v>
      </c>
      <c r="D42" s="191">
        <v>2010</v>
      </c>
      <c r="E42" s="191"/>
      <c r="F42" s="193" t="s">
        <v>411</v>
      </c>
      <c r="G42" t="s">
        <v>154</v>
      </c>
      <c r="H42" s="193" t="s">
        <v>285</v>
      </c>
      <c r="I42" s="271">
        <f t="shared" si="1"/>
        <v>12.291666666666668</v>
      </c>
      <c r="J42" s="271">
        <f t="shared" si="2"/>
        <v>12.291666666666668</v>
      </c>
      <c r="L42" s="194">
        <f t="shared" si="3"/>
        <v>12.291666666666668</v>
      </c>
      <c r="P42" t="s">
        <v>411</v>
      </c>
      <c r="Q42">
        <v>0.29499999999999998</v>
      </c>
      <c r="R42" t="s">
        <v>405</v>
      </c>
      <c r="S42">
        <f t="shared" si="0"/>
        <v>0.29499999999999998</v>
      </c>
      <c r="T42">
        <f t="shared" si="4"/>
        <v>12.291666666666668</v>
      </c>
    </row>
    <row r="43" spans="3:20">
      <c r="C43" s="191" t="s">
        <v>48</v>
      </c>
      <c r="D43" s="191">
        <v>2018</v>
      </c>
      <c r="E43" s="191"/>
      <c r="F43" s="193" t="s">
        <v>411</v>
      </c>
      <c r="G43" t="s">
        <v>154</v>
      </c>
      <c r="H43" s="193" t="s">
        <v>285</v>
      </c>
      <c r="I43" s="271">
        <f t="shared" si="1"/>
        <v>12.291666666666668</v>
      </c>
      <c r="J43" s="271">
        <f t="shared" si="2"/>
        <v>12.291666666666668</v>
      </c>
      <c r="L43" s="194">
        <f t="shared" si="3"/>
        <v>12.291666666666668</v>
      </c>
      <c r="P43" t="s">
        <v>411</v>
      </c>
      <c r="Q43">
        <v>0.29499999999999998</v>
      </c>
      <c r="R43" t="s">
        <v>405</v>
      </c>
      <c r="S43">
        <f t="shared" si="0"/>
        <v>0.29499999999999998</v>
      </c>
      <c r="T43">
        <f t="shared" si="4"/>
        <v>12.291666666666668</v>
      </c>
    </row>
    <row r="44" spans="3:20">
      <c r="C44" s="191" t="s">
        <v>48</v>
      </c>
      <c r="D44" s="191">
        <v>2019</v>
      </c>
      <c r="E44" s="191"/>
      <c r="F44" s="193" t="s">
        <v>411</v>
      </c>
      <c r="G44" t="s">
        <v>154</v>
      </c>
      <c r="H44" s="193" t="s">
        <v>285</v>
      </c>
      <c r="I44" s="271">
        <f t="shared" si="1"/>
        <v>0</v>
      </c>
      <c r="J44" s="271">
        <f t="shared" si="2"/>
        <v>0</v>
      </c>
      <c r="L44" s="194">
        <f t="shared" si="3"/>
        <v>0</v>
      </c>
      <c r="P44" t="s">
        <v>411</v>
      </c>
      <c r="Q44">
        <v>0.29499999999999998</v>
      </c>
      <c r="R44" t="s">
        <v>405</v>
      </c>
      <c r="S44">
        <f t="shared" si="0"/>
        <v>0.29499999999999998</v>
      </c>
      <c r="T44">
        <v>0</v>
      </c>
    </row>
    <row r="45" spans="3:20">
      <c r="C45" s="191" t="s">
        <v>48</v>
      </c>
      <c r="D45" s="191">
        <v>2010</v>
      </c>
      <c r="E45" s="191"/>
      <c r="F45" s="193" t="s">
        <v>163</v>
      </c>
      <c r="G45" t="s">
        <v>154</v>
      </c>
      <c r="H45" s="193" t="s">
        <v>285</v>
      </c>
      <c r="I45" s="271">
        <f t="shared" si="1"/>
        <v>10.044166666666666</v>
      </c>
      <c r="J45" s="271">
        <f t="shared" si="2"/>
        <v>10.044166666666666</v>
      </c>
      <c r="L45" s="194">
        <f t="shared" si="3"/>
        <v>10.044166666666666</v>
      </c>
      <c r="P45" t="s">
        <v>163</v>
      </c>
      <c r="Q45">
        <v>0.29105999999999999</v>
      </c>
      <c r="R45" t="s">
        <v>403</v>
      </c>
      <c r="S45">
        <f t="shared" si="0"/>
        <v>0.24106</v>
      </c>
      <c r="T45">
        <f t="shared" si="4"/>
        <v>10.044166666666666</v>
      </c>
    </row>
    <row r="46" spans="3:20">
      <c r="C46" s="191" t="s">
        <v>48</v>
      </c>
      <c r="D46" s="191">
        <v>2018</v>
      </c>
      <c r="E46" s="191"/>
      <c r="F46" s="193" t="s">
        <v>163</v>
      </c>
      <c r="G46" t="s">
        <v>154</v>
      </c>
      <c r="H46" s="193" t="s">
        <v>285</v>
      </c>
      <c r="I46" s="271">
        <f t="shared" si="1"/>
        <v>10.044166666666666</v>
      </c>
      <c r="J46" s="271">
        <f t="shared" si="2"/>
        <v>10.044166666666666</v>
      </c>
      <c r="L46" s="194">
        <f t="shared" si="3"/>
        <v>10.044166666666666</v>
      </c>
      <c r="P46" t="s">
        <v>163</v>
      </c>
      <c r="Q46">
        <v>0.29105999999999999</v>
      </c>
      <c r="R46" t="s">
        <v>403</v>
      </c>
      <c r="S46">
        <f t="shared" si="0"/>
        <v>0.24106</v>
      </c>
      <c r="T46">
        <f t="shared" si="4"/>
        <v>10.044166666666666</v>
      </c>
    </row>
    <row r="47" spans="3:20">
      <c r="C47" s="191" t="s">
        <v>48</v>
      </c>
      <c r="D47" s="191">
        <v>2019</v>
      </c>
      <c r="E47" s="191"/>
      <c r="F47" s="193" t="s">
        <v>163</v>
      </c>
      <c r="G47" t="s">
        <v>154</v>
      </c>
      <c r="H47" s="193" t="s">
        <v>285</v>
      </c>
      <c r="I47" s="271">
        <f t="shared" si="1"/>
        <v>0</v>
      </c>
      <c r="J47" s="271">
        <f t="shared" si="2"/>
        <v>0</v>
      </c>
      <c r="L47" s="194">
        <f t="shared" si="3"/>
        <v>0</v>
      </c>
      <c r="P47" t="s">
        <v>163</v>
      </c>
      <c r="Q47">
        <v>0.29105999999999999</v>
      </c>
      <c r="R47" t="s">
        <v>403</v>
      </c>
      <c r="S47">
        <f t="shared" si="0"/>
        <v>0.24106</v>
      </c>
      <c r="T47">
        <v>0</v>
      </c>
    </row>
    <row r="48" spans="3:20">
      <c r="C48" s="191" t="s">
        <v>48</v>
      </c>
      <c r="D48" s="191">
        <v>2010</v>
      </c>
      <c r="E48" s="191"/>
      <c r="F48" s="193" t="s">
        <v>164</v>
      </c>
      <c r="G48" t="s">
        <v>154</v>
      </c>
      <c r="H48" s="193" t="s">
        <v>285</v>
      </c>
      <c r="I48" s="271">
        <f t="shared" si="1"/>
        <v>4.8104166666666668</v>
      </c>
      <c r="J48" s="271">
        <f t="shared" si="2"/>
        <v>4.8104166666666668</v>
      </c>
      <c r="L48" s="194">
        <f t="shared" si="3"/>
        <v>4.8104166666666668</v>
      </c>
      <c r="P48" t="s">
        <v>164</v>
      </c>
      <c r="Q48">
        <v>0.16545000000000001</v>
      </c>
      <c r="R48" t="s">
        <v>403</v>
      </c>
      <c r="S48">
        <f t="shared" si="0"/>
        <v>0.11545000000000001</v>
      </c>
      <c r="T48">
        <f t="shared" si="4"/>
        <v>4.8104166666666668</v>
      </c>
    </row>
    <row r="49" spans="3:20">
      <c r="C49" s="191" t="s">
        <v>48</v>
      </c>
      <c r="D49" s="191">
        <v>2018</v>
      </c>
      <c r="E49" s="191"/>
      <c r="F49" s="193" t="s">
        <v>164</v>
      </c>
      <c r="G49" t="s">
        <v>154</v>
      </c>
      <c r="H49" s="193" t="s">
        <v>285</v>
      </c>
      <c r="I49" s="271">
        <f t="shared" si="1"/>
        <v>4.8104166666666668</v>
      </c>
      <c r="J49" s="271">
        <f t="shared" si="2"/>
        <v>4.8104166666666668</v>
      </c>
      <c r="L49" s="194">
        <f t="shared" si="3"/>
        <v>4.8104166666666668</v>
      </c>
      <c r="P49" t="s">
        <v>164</v>
      </c>
      <c r="Q49">
        <v>0.16545000000000001</v>
      </c>
      <c r="R49" t="s">
        <v>403</v>
      </c>
      <c r="S49">
        <f t="shared" si="0"/>
        <v>0.11545000000000001</v>
      </c>
      <c r="T49">
        <f t="shared" si="4"/>
        <v>4.8104166666666668</v>
      </c>
    </row>
    <row r="50" spans="3:20">
      <c r="C50" s="191" t="s">
        <v>48</v>
      </c>
      <c r="D50" s="191">
        <v>2019</v>
      </c>
      <c r="E50" s="191"/>
      <c r="F50" s="193" t="s">
        <v>164</v>
      </c>
      <c r="G50" t="s">
        <v>154</v>
      </c>
      <c r="H50" s="193" t="s">
        <v>285</v>
      </c>
      <c r="I50" s="271">
        <f t="shared" si="1"/>
        <v>0</v>
      </c>
      <c r="J50" s="271">
        <f t="shared" si="2"/>
        <v>0</v>
      </c>
      <c r="L50" s="194">
        <f t="shared" si="3"/>
        <v>0</v>
      </c>
      <c r="P50" t="s">
        <v>164</v>
      </c>
      <c r="Q50">
        <v>0.16545000000000001</v>
      </c>
      <c r="R50" t="s">
        <v>403</v>
      </c>
      <c r="S50">
        <f t="shared" si="0"/>
        <v>0.11545000000000001</v>
      </c>
      <c r="T50">
        <v>0</v>
      </c>
    </row>
    <row r="51" spans="3:20">
      <c r="C51" s="191" t="s">
        <v>48</v>
      </c>
      <c r="D51" s="191">
        <v>2010</v>
      </c>
      <c r="E51" s="191"/>
      <c r="F51" s="193" t="s">
        <v>412</v>
      </c>
      <c r="G51" t="s">
        <v>154</v>
      </c>
      <c r="H51" s="193" t="s">
        <v>285</v>
      </c>
      <c r="I51" s="271">
        <f t="shared" si="1"/>
        <v>7.7083333333333339</v>
      </c>
      <c r="J51" s="271">
        <f t="shared" si="2"/>
        <v>7.7083333333333339</v>
      </c>
      <c r="L51" s="194">
        <f t="shared" si="3"/>
        <v>7.7083333333333339</v>
      </c>
      <c r="P51" t="s">
        <v>412</v>
      </c>
      <c r="Q51">
        <v>0.185</v>
      </c>
      <c r="R51" t="s">
        <v>405</v>
      </c>
      <c r="S51">
        <f t="shared" si="0"/>
        <v>0.185</v>
      </c>
      <c r="T51">
        <f t="shared" si="4"/>
        <v>7.7083333333333339</v>
      </c>
    </row>
    <row r="52" spans="3:20">
      <c r="C52" s="191" t="s">
        <v>48</v>
      </c>
      <c r="D52" s="191">
        <v>2018</v>
      </c>
      <c r="E52" s="191"/>
      <c r="F52" s="193" t="s">
        <v>412</v>
      </c>
      <c r="G52" t="s">
        <v>154</v>
      </c>
      <c r="H52" s="193" t="s">
        <v>285</v>
      </c>
      <c r="I52" s="271">
        <f t="shared" si="1"/>
        <v>7.7083333333333339</v>
      </c>
      <c r="J52" s="271">
        <f t="shared" si="2"/>
        <v>7.7083333333333339</v>
      </c>
      <c r="L52" s="194">
        <f t="shared" si="3"/>
        <v>7.7083333333333339</v>
      </c>
      <c r="P52" t="s">
        <v>412</v>
      </c>
      <c r="Q52">
        <v>0.185</v>
      </c>
      <c r="R52" t="s">
        <v>405</v>
      </c>
      <c r="S52">
        <f t="shared" si="0"/>
        <v>0.185</v>
      </c>
      <c r="T52">
        <f t="shared" si="4"/>
        <v>7.7083333333333339</v>
      </c>
    </row>
    <row r="53" spans="3:20">
      <c r="C53" s="191" t="s">
        <v>48</v>
      </c>
      <c r="D53" s="191">
        <v>2019</v>
      </c>
      <c r="E53" s="191"/>
      <c r="F53" s="193" t="s">
        <v>412</v>
      </c>
      <c r="G53" t="s">
        <v>154</v>
      </c>
      <c r="H53" s="193" t="s">
        <v>285</v>
      </c>
      <c r="I53" s="271">
        <f t="shared" si="1"/>
        <v>0</v>
      </c>
      <c r="J53" s="271">
        <f t="shared" si="2"/>
        <v>0</v>
      </c>
      <c r="L53" s="194">
        <f t="shared" si="3"/>
        <v>0</v>
      </c>
      <c r="P53" t="s">
        <v>412</v>
      </c>
      <c r="Q53">
        <v>0.185</v>
      </c>
      <c r="R53" t="s">
        <v>405</v>
      </c>
      <c r="S53">
        <f t="shared" si="0"/>
        <v>0.185</v>
      </c>
      <c r="T53">
        <v>0</v>
      </c>
    </row>
    <row r="54" spans="3:20">
      <c r="C54" s="191" t="s">
        <v>48</v>
      </c>
      <c r="D54" s="191">
        <v>2010</v>
      </c>
      <c r="E54" s="191"/>
      <c r="F54" s="193" t="s">
        <v>413</v>
      </c>
      <c r="G54" t="s">
        <v>154</v>
      </c>
      <c r="H54" s="193" t="s">
        <v>285</v>
      </c>
      <c r="I54" s="271">
        <f t="shared" si="1"/>
        <v>7.2195833333333335</v>
      </c>
      <c r="J54" s="271">
        <f t="shared" si="2"/>
        <v>7.2195833333333335</v>
      </c>
      <c r="L54" s="194">
        <f t="shared" si="3"/>
        <v>7.2195833333333335</v>
      </c>
      <c r="P54" t="s">
        <v>413</v>
      </c>
      <c r="Q54">
        <v>0.17327000000000001</v>
      </c>
      <c r="R54" t="s">
        <v>405</v>
      </c>
      <c r="S54">
        <f t="shared" si="0"/>
        <v>0.17327000000000001</v>
      </c>
      <c r="T54">
        <f t="shared" ref="T54" si="5">($C$8*S54)/0.0036/100</f>
        <v>7.2195833333333335</v>
      </c>
    </row>
    <row r="55" spans="3:20">
      <c r="C55" s="191" t="s">
        <v>48</v>
      </c>
      <c r="D55" s="191">
        <v>2018</v>
      </c>
      <c r="E55" s="191"/>
      <c r="F55" s="193" t="s">
        <v>413</v>
      </c>
      <c r="G55" t="s">
        <v>154</v>
      </c>
      <c r="H55" s="193" t="s">
        <v>285</v>
      </c>
      <c r="I55" s="271">
        <f t="shared" si="1"/>
        <v>7.2195833333333335</v>
      </c>
      <c r="J55" s="271">
        <f t="shared" si="2"/>
        <v>7.2195833333333335</v>
      </c>
      <c r="L55" s="194">
        <f t="shared" si="3"/>
        <v>7.2195833333333335</v>
      </c>
      <c r="P55" t="s">
        <v>413</v>
      </c>
      <c r="Q55">
        <v>0.17327000000000001</v>
      </c>
      <c r="R55" t="s">
        <v>405</v>
      </c>
      <c r="S55">
        <f t="shared" si="0"/>
        <v>0.17327000000000001</v>
      </c>
      <c r="T55">
        <f t="shared" si="4"/>
        <v>7.2195833333333335</v>
      </c>
    </row>
    <row r="56" spans="3:20">
      <c r="C56" s="191" t="s">
        <v>48</v>
      </c>
      <c r="D56" s="191">
        <v>2019</v>
      </c>
      <c r="E56" s="191"/>
      <c r="F56" s="193" t="s">
        <v>413</v>
      </c>
      <c r="G56" t="s">
        <v>154</v>
      </c>
      <c r="H56" s="193" t="s">
        <v>285</v>
      </c>
      <c r="I56" s="271">
        <f t="shared" si="1"/>
        <v>0</v>
      </c>
      <c r="J56" s="271">
        <f t="shared" si="2"/>
        <v>0</v>
      </c>
      <c r="L56" s="194">
        <f t="shared" si="3"/>
        <v>0</v>
      </c>
      <c r="P56" t="s">
        <v>413</v>
      </c>
      <c r="Q56">
        <v>0.17327000000000001</v>
      </c>
      <c r="R56" t="s">
        <v>405</v>
      </c>
      <c r="S56">
        <f t="shared" si="0"/>
        <v>0.17327000000000001</v>
      </c>
      <c r="T56">
        <v>0</v>
      </c>
    </row>
    <row r="57" spans="3:20">
      <c r="C57" s="191" t="s">
        <v>48</v>
      </c>
      <c r="D57" s="191">
        <v>2010</v>
      </c>
      <c r="E57" s="191"/>
      <c r="F57" s="193" t="s">
        <v>414</v>
      </c>
      <c r="G57" t="s">
        <v>154</v>
      </c>
      <c r="H57" s="193" t="s">
        <v>285</v>
      </c>
      <c r="I57" s="271">
        <f t="shared" si="1"/>
        <v>9.3179166666666671</v>
      </c>
      <c r="J57" s="271">
        <f t="shared" si="2"/>
        <v>9.3179166666666671</v>
      </c>
      <c r="L57" s="194">
        <f t="shared" si="3"/>
        <v>9.3179166666666671</v>
      </c>
      <c r="P57" t="s">
        <v>414</v>
      </c>
      <c r="Q57">
        <v>0.22363</v>
      </c>
      <c r="R57" t="s">
        <v>405</v>
      </c>
      <c r="S57">
        <f t="shared" si="0"/>
        <v>0.22363</v>
      </c>
      <c r="T57">
        <f t="shared" si="4"/>
        <v>9.3179166666666671</v>
      </c>
    </row>
    <row r="58" spans="3:20">
      <c r="C58" s="191" t="s">
        <v>48</v>
      </c>
      <c r="D58" s="191">
        <v>2018</v>
      </c>
      <c r="E58" s="191"/>
      <c r="F58" s="193" t="s">
        <v>414</v>
      </c>
      <c r="G58" t="s">
        <v>154</v>
      </c>
      <c r="H58" s="193" t="s">
        <v>285</v>
      </c>
      <c r="I58" s="271">
        <f t="shared" si="1"/>
        <v>9.3179166666666671</v>
      </c>
      <c r="J58" s="271">
        <f t="shared" si="2"/>
        <v>9.3179166666666671</v>
      </c>
      <c r="L58" s="194">
        <f t="shared" si="3"/>
        <v>9.3179166666666671</v>
      </c>
      <c r="P58" t="s">
        <v>414</v>
      </c>
      <c r="Q58">
        <v>0.22363</v>
      </c>
      <c r="R58" t="s">
        <v>405</v>
      </c>
      <c r="S58">
        <f t="shared" si="0"/>
        <v>0.22363</v>
      </c>
      <c r="T58">
        <f t="shared" si="4"/>
        <v>9.3179166666666671</v>
      </c>
    </row>
    <row r="59" spans="3:20">
      <c r="C59" s="191" t="s">
        <v>48</v>
      </c>
      <c r="D59" s="191">
        <v>2019</v>
      </c>
      <c r="E59" s="191"/>
      <c r="F59" s="193" t="s">
        <v>414</v>
      </c>
      <c r="G59" t="s">
        <v>154</v>
      </c>
      <c r="H59" s="193" t="s">
        <v>285</v>
      </c>
      <c r="I59" s="271">
        <f t="shared" si="1"/>
        <v>0</v>
      </c>
      <c r="J59" s="271">
        <f t="shared" si="2"/>
        <v>0</v>
      </c>
      <c r="L59" s="194">
        <f t="shared" si="3"/>
        <v>0</v>
      </c>
      <c r="P59" t="s">
        <v>414</v>
      </c>
      <c r="Q59">
        <v>0.22363</v>
      </c>
      <c r="R59" t="s">
        <v>405</v>
      </c>
      <c r="S59">
        <f t="shared" si="0"/>
        <v>0.22363</v>
      </c>
      <c r="T59">
        <v>0</v>
      </c>
    </row>
    <row r="60" spans="3:20">
      <c r="C60" s="191" t="s">
        <v>48</v>
      </c>
      <c r="D60" s="191">
        <v>2010</v>
      </c>
      <c r="E60" s="191"/>
      <c r="F60" s="193" t="s">
        <v>166</v>
      </c>
      <c r="G60" t="s">
        <v>154</v>
      </c>
      <c r="H60" s="193" t="s">
        <v>285</v>
      </c>
      <c r="I60" s="271">
        <f t="shared" si="1"/>
        <v>5.915</v>
      </c>
      <c r="J60" s="271">
        <f t="shared" si="2"/>
        <v>5.915</v>
      </c>
      <c r="L60" s="194">
        <f t="shared" si="3"/>
        <v>5.915</v>
      </c>
      <c r="P60" t="s">
        <v>166</v>
      </c>
      <c r="Q60">
        <v>0.14196</v>
      </c>
      <c r="R60" t="s">
        <v>405</v>
      </c>
      <c r="S60">
        <f t="shared" si="0"/>
        <v>0.14196</v>
      </c>
      <c r="T60">
        <f t="shared" si="4"/>
        <v>5.915</v>
      </c>
    </row>
    <row r="61" spans="3:20">
      <c r="C61" s="191" t="s">
        <v>48</v>
      </c>
      <c r="D61" s="191">
        <v>2018</v>
      </c>
      <c r="E61" s="191"/>
      <c r="F61" s="193" t="s">
        <v>166</v>
      </c>
      <c r="G61" t="s">
        <v>154</v>
      </c>
      <c r="H61" s="193" t="s">
        <v>285</v>
      </c>
      <c r="I61" s="271">
        <f t="shared" si="1"/>
        <v>5.915</v>
      </c>
      <c r="J61" s="271">
        <f t="shared" si="2"/>
        <v>5.915</v>
      </c>
      <c r="L61" s="194">
        <f t="shared" si="3"/>
        <v>5.915</v>
      </c>
      <c r="P61" t="s">
        <v>166</v>
      </c>
      <c r="Q61">
        <v>0.14196</v>
      </c>
      <c r="R61" t="s">
        <v>405</v>
      </c>
      <c r="S61">
        <f t="shared" si="0"/>
        <v>0.14196</v>
      </c>
      <c r="T61">
        <f t="shared" si="4"/>
        <v>5.915</v>
      </c>
    </row>
    <row r="62" spans="3:20">
      <c r="C62" s="191" t="s">
        <v>48</v>
      </c>
      <c r="D62" s="191">
        <v>2019</v>
      </c>
      <c r="E62" s="191"/>
      <c r="F62" s="193" t="s">
        <v>166</v>
      </c>
      <c r="G62" t="s">
        <v>154</v>
      </c>
      <c r="H62" s="193" t="s">
        <v>285</v>
      </c>
      <c r="I62" s="271">
        <f t="shared" si="1"/>
        <v>0</v>
      </c>
      <c r="J62" s="271">
        <f t="shared" si="2"/>
        <v>0</v>
      </c>
      <c r="L62" s="194">
        <f t="shared" si="3"/>
        <v>0</v>
      </c>
      <c r="P62" t="s">
        <v>166</v>
      </c>
      <c r="Q62">
        <v>0.14196</v>
      </c>
      <c r="R62" t="s">
        <v>405</v>
      </c>
      <c r="S62">
        <f t="shared" si="0"/>
        <v>0.14196</v>
      </c>
      <c r="T62">
        <v>0</v>
      </c>
    </row>
    <row r="63" spans="3:20">
      <c r="C63" s="191" t="s">
        <v>48</v>
      </c>
      <c r="D63" s="191">
        <v>2010</v>
      </c>
      <c r="E63" s="191"/>
      <c r="F63" s="193" t="s">
        <v>167</v>
      </c>
      <c r="G63" t="s">
        <v>154</v>
      </c>
      <c r="H63" s="193" t="s">
        <v>285</v>
      </c>
      <c r="I63" s="271">
        <f t="shared" si="1"/>
        <v>9.6925000000000008</v>
      </c>
      <c r="J63" s="271">
        <f t="shared" si="2"/>
        <v>9.6925000000000008</v>
      </c>
      <c r="L63" s="194">
        <f t="shared" si="3"/>
        <v>9.6925000000000008</v>
      </c>
      <c r="P63" t="s">
        <v>167</v>
      </c>
      <c r="Q63">
        <v>0.23261999999999999</v>
      </c>
      <c r="R63" t="s">
        <v>405</v>
      </c>
      <c r="S63">
        <f t="shared" si="0"/>
        <v>0.23261999999999999</v>
      </c>
      <c r="T63">
        <f t="shared" si="4"/>
        <v>9.6925000000000008</v>
      </c>
    </row>
    <row r="64" spans="3:20">
      <c r="C64" s="191" t="s">
        <v>48</v>
      </c>
      <c r="D64" s="191">
        <v>2018</v>
      </c>
      <c r="E64" s="191"/>
      <c r="F64" s="193" t="s">
        <v>167</v>
      </c>
      <c r="G64" t="s">
        <v>154</v>
      </c>
      <c r="H64" s="193" t="s">
        <v>285</v>
      </c>
      <c r="I64" s="271">
        <f t="shared" si="1"/>
        <v>9.6925000000000008</v>
      </c>
      <c r="J64" s="271">
        <f t="shared" si="2"/>
        <v>9.6925000000000008</v>
      </c>
      <c r="L64" s="194">
        <f t="shared" si="3"/>
        <v>9.6925000000000008</v>
      </c>
      <c r="P64" t="s">
        <v>167</v>
      </c>
      <c r="Q64">
        <v>0.23261999999999999</v>
      </c>
      <c r="R64" t="s">
        <v>405</v>
      </c>
      <c r="S64">
        <f t="shared" si="0"/>
        <v>0.23261999999999999</v>
      </c>
      <c r="T64">
        <f t="shared" si="4"/>
        <v>9.6925000000000008</v>
      </c>
    </row>
    <row r="65" spans="3:20">
      <c r="C65" s="191" t="s">
        <v>48</v>
      </c>
      <c r="D65" s="191">
        <v>2019</v>
      </c>
      <c r="E65" s="191"/>
      <c r="F65" s="193" t="s">
        <v>167</v>
      </c>
      <c r="G65" t="s">
        <v>154</v>
      </c>
      <c r="H65" s="193" t="s">
        <v>285</v>
      </c>
      <c r="I65" s="271">
        <f t="shared" si="1"/>
        <v>0</v>
      </c>
      <c r="J65" s="271">
        <f t="shared" si="2"/>
        <v>0</v>
      </c>
      <c r="L65" s="194">
        <f t="shared" si="3"/>
        <v>0</v>
      </c>
      <c r="P65" t="s">
        <v>167</v>
      </c>
      <c r="Q65">
        <v>0.23261999999999999</v>
      </c>
      <c r="R65" t="s">
        <v>405</v>
      </c>
      <c r="S65">
        <f t="shared" si="0"/>
        <v>0.23261999999999999</v>
      </c>
      <c r="T65">
        <v>0</v>
      </c>
    </row>
    <row r="66" spans="3:20" ht="13.8">
      <c r="C66" s="191" t="s">
        <v>48</v>
      </c>
      <c r="D66" s="191">
        <v>2010</v>
      </c>
      <c r="E66" s="191"/>
      <c r="F66" s="285" t="s">
        <v>476</v>
      </c>
      <c r="G66" t="s">
        <v>154</v>
      </c>
      <c r="H66" s="193" t="s">
        <v>285</v>
      </c>
      <c r="I66" s="271">
        <f t="shared" ref="I66" si="6">L66</f>
        <v>7.2807394534093586</v>
      </c>
      <c r="J66" s="271">
        <f t="shared" ref="J66" si="7">I66</f>
        <v>7.2807394534093586</v>
      </c>
      <c r="L66" s="194">
        <f t="shared" ref="L66" si="8">T66</f>
        <v>7.2807394534093586</v>
      </c>
      <c r="P66" t="s">
        <v>415</v>
      </c>
      <c r="Q66" s="283">
        <v>0.17473774688182461</v>
      </c>
      <c r="R66" t="s">
        <v>405</v>
      </c>
      <c r="S66">
        <f t="shared" ref="S66" si="9">IF(R66="FX",Q66,Q66-$Q$15)</f>
        <v>0.17473774688182461</v>
      </c>
      <c r="T66">
        <f t="shared" ref="T66" si="10">($C$8*S66)/0.0036/100</f>
        <v>7.2807394534093586</v>
      </c>
    </row>
    <row r="67" spans="3:20">
      <c r="C67" s="191" t="s">
        <v>48</v>
      </c>
      <c r="D67" s="191">
        <v>2010</v>
      </c>
      <c r="E67" s="191"/>
      <c r="F67" s="193" t="s">
        <v>415</v>
      </c>
      <c r="G67" t="s">
        <v>154</v>
      </c>
      <c r="H67" s="193" t="s">
        <v>285</v>
      </c>
      <c r="I67" s="271">
        <f t="shared" si="1"/>
        <v>3.9658333333333333</v>
      </c>
      <c r="J67" s="271">
        <f t="shared" si="2"/>
        <v>3.9658333333333333</v>
      </c>
      <c r="L67" s="194">
        <f t="shared" si="3"/>
        <v>3.9658333333333333</v>
      </c>
      <c r="P67" t="s">
        <v>415</v>
      </c>
      <c r="Q67">
        <v>9.5180000000000001E-2</v>
      </c>
      <c r="R67" t="s">
        <v>405</v>
      </c>
      <c r="S67">
        <f t="shared" si="0"/>
        <v>9.5180000000000001E-2</v>
      </c>
      <c r="T67">
        <f t="shared" si="4"/>
        <v>3.9658333333333333</v>
      </c>
    </row>
    <row r="68" spans="3:20">
      <c r="C68" s="191" t="s">
        <v>48</v>
      </c>
      <c r="D68" s="191">
        <v>2018</v>
      </c>
      <c r="E68" s="191"/>
      <c r="F68" s="193" t="s">
        <v>415</v>
      </c>
      <c r="G68" t="s">
        <v>154</v>
      </c>
      <c r="H68" s="193" t="s">
        <v>285</v>
      </c>
      <c r="I68" s="271">
        <f t="shared" si="1"/>
        <v>3.9658333333333333</v>
      </c>
      <c r="J68" s="271">
        <f t="shared" si="2"/>
        <v>3.9658333333333333</v>
      </c>
      <c r="L68" s="194">
        <f t="shared" si="3"/>
        <v>3.9658333333333333</v>
      </c>
      <c r="P68" t="s">
        <v>415</v>
      </c>
      <c r="Q68">
        <v>9.5180000000000001E-2</v>
      </c>
      <c r="R68" t="s">
        <v>405</v>
      </c>
      <c r="S68">
        <f t="shared" si="0"/>
        <v>9.5180000000000001E-2</v>
      </c>
      <c r="T68">
        <f t="shared" si="4"/>
        <v>3.9658333333333333</v>
      </c>
    </row>
    <row r="69" spans="3:20">
      <c r="C69" s="191" t="s">
        <v>48</v>
      </c>
      <c r="D69" s="191">
        <v>2019</v>
      </c>
      <c r="E69" s="191"/>
      <c r="F69" s="193" t="s">
        <v>415</v>
      </c>
      <c r="G69" t="s">
        <v>154</v>
      </c>
      <c r="H69" s="193" t="s">
        <v>285</v>
      </c>
      <c r="I69" s="271">
        <f t="shared" si="1"/>
        <v>0</v>
      </c>
      <c r="J69" s="271">
        <f t="shared" si="2"/>
        <v>0</v>
      </c>
      <c r="L69" s="194">
        <f t="shared" si="3"/>
        <v>0</v>
      </c>
      <c r="P69" t="s">
        <v>415</v>
      </c>
      <c r="Q69">
        <v>9.5180000000000001E-2</v>
      </c>
      <c r="R69" t="s">
        <v>405</v>
      </c>
      <c r="S69">
        <f t="shared" si="0"/>
        <v>9.5180000000000001E-2</v>
      </c>
      <c r="T69">
        <v>0</v>
      </c>
    </row>
    <row r="70" spans="3:20">
      <c r="C70" s="191" t="s">
        <v>48</v>
      </c>
      <c r="D70" s="191">
        <v>2010</v>
      </c>
      <c r="E70" s="191"/>
      <c r="F70" s="193" t="s">
        <v>416</v>
      </c>
      <c r="G70" t="s">
        <v>154</v>
      </c>
      <c r="H70" s="193" t="s">
        <v>285</v>
      </c>
      <c r="I70" s="271">
        <f t="shared" si="1"/>
        <v>8.75</v>
      </c>
      <c r="J70" s="271">
        <f t="shared" si="2"/>
        <v>8.75</v>
      </c>
      <c r="L70" s="194">
        <f t="shared" si="3"/>
        <v>8.75</v>
      </c>
      <c r="P70" t="s">
        <v>416</v>
      </c>
      <c r="Q70">
        <v>0.21</v>
      </c>
      <c r="R70" t="s">
        <v>405</v>
      </c>
      <c r="S70">
        <f t="shared" si="0"/>
        <v>0.21</v>
      </c>
      <c r="T70">
        <f>($C$8*S70)/0.0036/100</f>
        <v>8.75</v>
      </c>
    </row>
    <row r="71" spans="3:20">
      <c r="C71" s="191" t="s">
        <v>48</v>
      </c>
      <c r="D71" s="191">
        <v>2018</v>
      </c>
      <c r="E71" s="191"/>
      <c r="F71" s="193" t="s">
        <v>416</v>
      </c>
      <c r="G71" t="s">
        <v>154</v>
      </c>
      <c r="H71" s="193" t="s">
        <v>285</v>
      </c>
      <c r="I71" s="271">
        <f t="shared" si="1"/>
        <v>8.75</v>
      </c>
      <c r="J71" s="271">
        <f t="shared" si="2"/>
        <v>8.75</v>
      </c>
      <c r="L71" s="194">
        <f t="shared" si="3"/>
        <v>8.75</v>
      </c>
      <c r="P71" t="s">
        <v>416</v>
      </c>
      <c r="Q71">
        <v>0.21</v>
      </c>
      <c r="R71" t="s">
        <v>405</v>
      </c>
      <c r="S71">
        <f t="shared" si="0"/>
        <v>0.21</v>
      </c>
      <c r="T71">
        <f>($C$8*S71)/0.0036/100</f>
        <v>8.75</v>
      </c>
    </row>
    <row r="72" spans="3:20">
      <c r="C72" s="191" t="s">
        <v>48</v>
      </c>
      <c r="D72" s="191">
        <v>2019</v>
      </c>
      <c r="E72" s="191"/>
      <c r="F72" s="193" t="s">
        <v>416</v>
      </c>
      <c r="G72" t="s">
        <v>154</v>
      </c>
      <c r="H72" s="193" t="s">
        <v>285</v>
      </c>
      <c r="I72" s="271">
        <f t="shared" si="1"/>
        <v>0</v>
      </c>
      <c r="J72" s="271">
        <f t="shared" si="2"/>
        <v>0</v>
      </c>
      <c r="L72" s="194">
        <f t="shared" si="3"/>
        <v>0</v>
      </c>
      <c r="P72" t="s">
        <v>416</v>
      </c>
      <c r="Q72">
        <v>0.21</v>
      </c>
      <c r="R72" t="s">
        <v>405</v>
      </c>
      <c r="S72">
        <f t="shared" si="0"/>
        <v>0.21</v>
      </c>
      <c r="T72">
        <v>0</v>
      </c>
    </row>
    <row r="73" spans="3:20">
      <c r="C73" s="191" t="s">
        <v>48</v>
      </c>
      <c r="D73" s="191">
        <v>2010</v>
      </c>
      <c r="E73" s="191"/>
      <c r="F73" s="273" t="s">
        <v>175</v>
      </c>
      <c r="G73" t="s">
        <v>154</v>
      </c>
      <c r="H73" s="193" t="s">
        <v>285</v>
      </c>
      <c r="I73" s="271">
        <f t="shared" si="1"/>
        <v>10.583333333333336</v>
      </c>
      <c r="J73" s="271">
        <f t="shared" si="2"/>
        <v>10.583333333333336</v>
      </c>
      <c r="L73" s="194">
        <f t="shared" si="3"/>
        <v>10.583333333333336</v>
      </c>
      <c r="P73" t="s">
        <v>175</v>
      </c>
      <c r="Q73">
        <v>0.30399999999999999</v>
      </c>
      <c r="R73" t="s">
        <v>403</v>
      </c>
      <c r="S73">
        <f t="shared" si="0"/>
        <v>0.254</v>
      </c>
      <c r="T73" s="14">
        <f>($C$8*S73)/0.0036/100</f>
        <v>10.583333333333336</v>
      </c>
    </row>
    <row r="74" spans="3:20">
      <c r="C74" s="191" t="s">
        <v>48</v>
      </c>
      <c r="D74" s="191">
        <v>2018</v>
      </c>
      <c r="E74" s="191"/>
      <c r="F74" s="273" t="s">
        <v>175</v>
      </c>
      <c r="G74" t="s">
        <v>154</v>
      </c>
      <c r="H74" s="193" t="s">
        <v>285</v>
      </c>
      <c r="I74" s="271">
        <f t="shared" si="1"/>
        <v>10.583333333333336</v>
      </c>
      <c r="J74" s="271">
        <f t="shared" si="2"/>
        <v>10.583333333333336</v>
      </c>
      <c r="L74" s="194">
        <f t="shared" si="3"/>
        <v>10.583333333333336</v>
      </c>
      <c r="P74" t="s">
        <v>175</v>
      </c>
      <c r="Q74">
        <v>0.30399999999999999</v>
      </c>
      <c r="R74" t="s">
        <v>403</v>
      </c>
      <c r="S74">
        <f t="shared" si="0"/>
        <v>0.254</v>
      </c>
      <c r="T74" s="14">
        <f>($C$8*S74)/0.0036/100</f>
        <v>10.583333333333336</v>
      </c>
    </row>
    <row r="75" spans="3:20">
      <c r="C75" s="191" t="s">
        <v>48</v>
      </c>
      <c r="D75" s="191">
        <v>2019</v>
      </c>
      <c r="E75" s="191"/>
      <c r="F75" s="273" t="s">
        <v>175</v>
      </c>
      <c r="G75" t="s">
        <v>154</v>
      </c>
      <c r="H75" s="193" t="s">
        <v>285</v>
      </c>
      <c r="I75" s="271">
        <f t="shared" si="1"/>
        <v>0</v>
      </c>
      <c r="J75" s="271">
        <f t="shared" si="2"/>
        <v>0</v>
      </c>
      <c r="L75" s="194">
        <f t="shared" si="3"/>
        <v>0</v>
      </c>
      <c r="P75" t="s">
        <v>175</v>
      </c>
      <c r="Q75">
        <v>0.30399999999999999</v>
      </c>
      <c r="R75" t="s">
        <v>403</v>
      </c>
      <c r="S75">
        <f t="shared" si="0"/>
        <v>0.254</v>
      </c>
      <c r="T75" s="14">
        <v>0</v>
      </c>
    </row>
    <row r="76" spans="3:20">
      <c r="C76" s="191" t="s">
        <v>48</v>
      </c>
      <c r="D76" s="191">
        <v>2010</v>
      </c>
      <c r="E76" s="191"/>
      <c r="F76" s="193" t="s">
        <v>417</v>
      </c>
      <c r="G76" t="s">
        <v>154</v>
      </c>
      <c r="H76" s="193" t="s">
        <v>285</v>
      </c>
      <c r="I76" s="271">
        <f t="shared" si="1"/>
        <v>10.15375</v>
      </c>
      <c r="J76" s="271">
        <f t="shared" si="2"/>
        <v>10.15375</v>
      </c>
      <c r="L76" s="194">
        <f t="shared" si="3"/>
        <v>10.15375</v>
      </c>
      <c r="P76" t="s">
        <v>417</v>
      </c>
      <c r="Q76">
        <v>0.24368999999999999</v>
      </c>
      <c r="R76" t="s">
        <v>405</v>
      </c>
      <c r="S76">
        <f t="shared" si="0"/>
        <v>0.24368999999999999</v>
      </c>
      <c r="T76">
        <f>($C$8*S76)/0.0036/100</f>
        <v>10.15375</v>
      </c>
    </row>
    <row r="77" spans="3:20">
      <c r="C77" s="191" t="s">
        <v>48</v>
      </c>
      <c r="D77" s="191">
        <v>2018</v>
      </c>
      <c r="E77" s="191"/>
      <c r="F77" s="193" t="s">
        <v>417</v>
      </c>
      <c r="G77" t="s">
        <v>154</v>
      </c>
      <c r="H77" s="193" t="s">
        <v>285</v>
      </c>
      <c r="I77" s="271">
        <f t="shared" si="1"/>
        <v>10.15375</v>
      </c>
      <c r="J77" s="271">
        <f t="shared" si="2"/>
        <v>10.15375</v>
      </c>
      <c r="L77" s="194">
        <f t="shared" si="3"/>
        <v>10.15375</v>
      </c>
      <c r="P77" t="s">
        <v>417</v>
      </c>
      <c r="Q77">
        <v>0.24368999999999999</v>
      </c>
      <c r="R77" t="s">
        <v>405</v>
      </c>
      <c r="S77">
        <f t="shared" si="0"/>
        <v>0.24368999999999999</v>
      </c>
      <c r="T77">
        <f>($C$8*S77)/0.0036/100</f>
        <v>10.15375</v>
      </c>
    </row>
    <row r="78" spans="3:20">
      <c r="C78" s="191" t="s">
        <v>48</v>
      </c>
      <c r="D78" s="191">
        <v>2019</v>
      </c>
      <c r="E78" s="191"/>
      <c r="F78" s="193" t="s">
        <v>417</v>
      </c>
      <c r="G78" t="s">
        <v>154</v>
      </c>
      <c r="H78" s="193" t="s">
        <v>285</v>
      </c>
      <c r="I78" s="271">
        <f t="shared" si="1"/>
        <v>0</v>
      </c>
      <c r="J78" s="271">
        <f t="shared" si="2"/>
        <v>0</v>
      </c>
      <c r="L78" s="194">
        <f t="shared" si="3"/>
        <v>0</v>
      </c>
      <c r="P78" t="s">
        <v>417</v>
      </c>
      <c r="Q78">
        <v>0.24368999999999999</v>
      </c>
      <c r="R78" t="s">
        <v>405</v>
      </c>
      <c r="S78">
        <f t="shared" si="0"/>
        <v>0.24368999999999999</v>
      </c>
      <c r="T78">
        <v>0</v>
      </c>
    </row>
    <row r="79" spans="3:20">
      <c r="C79" s="191" t="s">
        <v>48</v>
      </c>
      <c r="D79" s="191">
        <v>2010</v>
      </c>
      <c r="E79" s="191"/>
      <c r="F79" s="193" t="s">
        <v>176</v>
      </c>
      <c r="G79" t="s">
        <v>154</v>
      </c>
      <c r="H79" s="193" t="s">
        <v>285</v>
      </c>
      <c r="I79" s="271">
        <f t="shared" si="1"/>
        <v>5.915</v>
      </c>
      <c r="J79" s="271">
        <f t="shared" si="2"/>
        <v>5.915</v>
      </c>
      <c r="L79" s="194">
        <f t="shared" si="3"/>
        <v>5.915</v>
      </c>
      <c r="P79" t="s">
        <v>176</v>
      </c>
      <c r="Q79">
        <v>0.14196</v>
      </c>
      <c r="R79" t="s">
        <v>405</v>
      </c>
      <c r="S79">
        <f t="shared" si="0"/>
        <v>0.14196</v>
      </c>
      <c r="T79">
        <f>($C$8*S79)/0.0036/100</f>
        <v>5.915</v>
      </c>
    </row>
    <row r="80" spans="3:20">
      <c r="C80" s="191" t="s">
        <v>48</v>
      </c>
      <c r="D80" s="191">
        <v>2018</v>
      </c>
      <c r="E80" s="191"/>
      <c r="F80" s="193" t="s">
        <v>176</v>
      </c>
      <c r="G80" t="s">
        <v>154</v>
      </c>
      <c r="H80" s="193" t="s">
        <v>285</v>
      </c>
      <c r="I80" s="271">
        <f t="shared" si="1"/>
        <v>5.915</v>
      </c>
      <c r="J80" s="271">
        <f t="shared" si="2"/>
        <v>5.915</v>
      </c>
      <c r="L80" s="194">
        <f t="shared" si="3"/>
        <v>5.915</v>
      </c>
      <c r="P80" t="s">
        <v>176</v>
      </c>
      <c r="Q80">
        <v>0.14196</v>
      </c>
      <c r="R80" t="s">
        <v>405</v>
      </c>
      <c r="S80">
        <f t="shared" si="0"/>
        <v>0.14196</v>
      </c>
      <c r="T80">
        <f>($C$8*S80)/0.0036/100</f>
        <v>5.915</v>
      </c>
    </row>
    <row r="81" spans="3:20">
      <c r="C81" s="191" t="s">
        <v>48</v>
      </c>
      <c r="D81" s="191">
        <v>2019</v>
      </c>
      <c r="E81" s="191"/>
      <c r="F81" s="193" t="s">
        <v>176</v>
      </c>
      <c r="G81" t="s">
        <v>154</v>
      </c>
      <c r="H81" s="193" t="s">
        <v>285</v>
      </c>
      <c r="I81" s="271">
        <f t="shared" si="1"/>
        <v>0</v>
      </c>
      <c r="J81" s="271">
        <f t="shared" si="2"/>
        <v>0</v>
      </c>
      <c r="L81" s="194">
        <f t="shared" si="3"/>
        <v>0</v>
      </c>
      <c r="P81" t="s">
        <v>176</v>
      </c>
      <c r="Q81">
        <v>0.14196</v>
      </c>
      <c r="R81" t="s">
        <v>405</v>
      </c>
      <c r="S81">
        <f t="shared" si="0"/>
        <v>0.14196</v>
      </c>
      <c r="T81">
        <v>0</v>
      </c>
    </row>
    <row r="82" spans="3:20">
      <c r="C82" s="191" t="s">
        <v>48</v>
      </c>
      <c r="D82" s="191">
        <v>2010</v>
      </c>
      <c r="E82" s="191"/>
      <c r="F82" s="193" t="s">
        <v>478</v>
      </c>
      <c r="G82" t="s">
        <v>154</v>
      </c>
      <c r="H82" s="193" t="s">
        <v>285</v>
      </c>
      <c r="I82" s="271">
        <f t="shared" si="1"/>
        <v>13.811666666666667</v>
      </c>
      <c r="J82" s="271">
        <f t="shared" si="2"/>
        <v>13.811666666666667</v>
      </c>
      <c r="L82" s="194">
        <f t="shared" si="3"/>
        <v>13.811666666666667</v>
      </c>
      <c r="P82" t="s">
        <v>418</v>
      </c>
      <c r="Q82">
        <v>0.33148</v>
      </c>
      <c r="R82" t="s">
        <v>405</v>
      </c>
      <c r="S82">
        <f t="shared" si="0"/>
        <v>0.33148</v>
      </c>
      <c r="T82">
        <f>($C$8*S82)/0.0036/100</f>
        <v>13.811666666666667</v>
      </c>
    </row>
    <row r="83" spans="3:20">
      <c r="C83" s="191" t="s">
        <v>48</v>
      </c>
      <c r="D83" s="191">
        <v>2018</v>
      </c>
      <c r="E83" s="191"/>
      <c r="F83" s="193" t="s">
        <v>478</v>
      </c>
      <c r="G83" t="s">
        <v>154</v>
      </c>
      <c r="H83" s="193" t="s">
        <v>285</v>
      </c>
      <c r="I83" s="271">
        <f t="shared" si="1"/>
        <v>13.811666666666667</v>
      </c>
      <c r="J83" s="271">
        <f t="shared" si="2"/>
        <v>13.811666666666667</v>
      </c>
      <c r="L83" s="194">
        <f t="shared" si="3"/>
        <v>13.811666666666667</v>
      </c>
      <c r="P83" t="s">
        <v>418</v>
      </c>
      <c r="Q83">
        <v>0.33148</v>
      </c>
      <c r="R83" t="s">
        <v>405</v>
      </c>
      <c r="S83">
        <f t="shared" ref="S83:S121" si="11">IF(R83="FX",Q83,Q83-$Q$15)</f>
        <v>0.33148</v>
      </c>
      <c r="T83">
        <f>($C$8*S83)/0.0036/100</f>
        <v>13.811666666666667</v>
      </c>
    </row>
    <row r="84" spans="3:20">
      <c r="C84" s="191" t="s">
        <v>48</v>
      </c>
      <c r="D84" s="191">
        <v>2019</v>
      </c>
      <c r="E84" s="191"/>
      <c r="F84" s="193" t="s">
        <v>478</v>
      </c>
      <c r="G84" t="s">
        <v>154</v>
      </c>
      <c r="H84" s="193" t="s">
        <v>285</v>
      </c>
      <c r="I84" s="271">
        <f t="shared" ref="I84:I148" si="12">L84</f>
        <v>0</v>
      </c>
      <c r="J84" s="271">
        <f t="shared" ref="J84:J148" si="13">I84</f>
        <v>0</v>
      </c>
      <c r="L84" s="194">
        <f t="shared" si="3"/>
        <v>0</v>
      </c>
      <c r="P84" t="s">
        <v>418</v>
      </c>
      <c r="Q84">
        <v>0.33148</v>
      </c>
      <c r="R84" t="s">
        <v>405</v>
      </c>
      <c r="S84">
        <f t="shared" si="11"/>
        <v>0.33148</v>
      </c>
      <c r="T84">
        <v>0</v>
      </c>
    </row>
    <row r="85" spans="3:20">
      <c r="C85" s="191" t="s">
        <v>48</v>
      </c>
      <c r="D85" s="191">
        <v>2010</v>
      </c>
      <c r="E85" s="191"/>
      <c r="F85" s="193" t="s">
        <v>478</v>
      </c>
      <c r="G85" t="s">
        <v>154</v>
      </c>
      <c r="H85" s="193" t="s">
        <v>285</v>
      </c>
      <c r="I85" s="271">
        <f t="shared" si="12"/>
        <v>9.4641666666666673</v>
      </c>
      <c r="J85" s="271">
        <f t="shared" si="13"/>
        <v>9.4641666666666673</v>
      </c>
      <c r="L85" s="194">
        <f t="shared" ref="L85:L146" si="14">T85</f>
        <v>9.4641666666666673</v>
      </c>
      <c r="P85" t="s">
        <v>419</v>
      </c>
      <c r="Q85">
        <v>0.22714000000000001</v>
      </c>
      <c r="R85" t="s">
        <v>405</v>
      </c>
      <c r="S85">
        <f t="shared" si="11"/>
        <v>0.22714000000000001</v>
      </c>
      <c r="T85">
        <f>($C$8*S85)/0.0036/100</f>
        <v>9.4641666666666673</v>
      </c>
    </row>
    <row r="86" spans="3:20">
      <c r="C86" s="191" t="s">
        <v>48</v>
      </c>
      <c r="D86" s="191">
        <v>2018</v>
      </c>
      <c r="E86" s="191"/>
      <c r="F86" s="193" t="s">
        <v>478</v>
      </c>
      <c r="G86" t="s">
        <v>154</v>
      </c>
      <c r="H86" s="193" t="s">
        <v>285</v>
      </c>
      <c r="I86" s="271">
        <f t="shared" si="12"/>
        <v>9.4641666666666673</v>
      </c>
      <c r="J86" s="271">
        <f t="shared" si="13"/>
        <v>9.4641666666666673</v>
      </c>
      <c r="L86" s="194">
        <f t="shared" si="14"/>
        <v>9.4641666666666673</v>
      </c>
      <c r="P86" t="s">
        <v>419</v>
      </c>
      <c r="Q86">
        <v>0.22714000000000001</v>
      </c>
      <c r="R86" t="s">
        <v>405</v>
      </c>
      <c r="S86">
        <f t="shared" si="11"/>
        <v>0.22714000000000001</v>
      </c>
      <c r="T86">
        <f>($C$8*S86)/0.0036/100</f>
        <v>9.4641666666666673</v>
      </c>
    </row>
    <row r="87" spans="3:20">
      <c r="C87" s="191" t="s">
        <v>48</v>
      </c>
      <c r="D87" s="191">
        <v>2019</v>
      </c>
      <c r="E87" s="191"/>
      <c r="F87" s="193" t="s">
        <v>478</v>
      </c>
      <c r="G87" t="s">
        <v>154</v>
      </c>
      <c r="H87" s="193" t="s">
        <v>285</v>
      </c>
      <c r="I87" s="271">
        <f t="shared" si="12"/>
        <v>0</v>
      </c>
      <c r="J87" s="271">
        <f t="shared" si="13"/>
        <v>0</v>
      </c>
      <c r="L87" s="194">
        <f t="shared" si="14"/>
        <v>0</v>
      </c>
      <c r="P87" t="s">
        <v>419</v>
      </c>
      <c r="Q87">
        <v>0.22714000000000001</v>
      </c>
      <c r="R87" t="s">
        <v>405</v>
      </c>
      <c r="S87">
        <f t="shared" si="11"/>
        <v>0.22714000000000001</v>
      </c>
      <c r="T87">
        <v>0</v>
      </c>
    </row>
    <row r="88" spans="3:20">
      <c r="C88" s="191" t="s">
        <v>48</v>
      </c>
      <c r="D88" s="191">
        <v>2010</v>
      </c>
      <c r="E88" s="191"/>
      <c r="F88" s="193" t="s">
        <v>479</v>
      </c>
      <c r="G88" t="s">
        <v>154</v>
      </c>
      <c r="H88" s="193" t="s">
        <v>285</v>
      </c>
      <c r="I88" s="271">
        <f t="shared" si="12"/>
        <v>9.6925000000000008</v>
      </c>
      <c r="J88" s="271">
        <f t="shared" si="13"/>
        <v>9.6925000000000008</v>
      </c>
      <c r="L88" s="194">
        <f t="shared" si="14"/>
        <v>9.6925000000000008</v>
      </c>
      <c r="P88" t="s">
        <v>181</v>
      </c>
      <c r="Q88">
        <v>0.23261999999999999</v>
      </c>
      <c r="R88" t="s">
        <v>405</v>
      </c>
      <c r="S88">
        <f t="shared" si="11"/>
        <v>0.23261999999999999</v>
      </c>
      <c r="T88">
        <f>($C$8*S88)/0.0036/100</f>
        <v>9.6925000000000008</v>
      </c>
    </row>
    <row r="89" spans="3:20">
      <c r="C89" s="191" t="s">
        <v>48</v>
      </c>
      <c r="D89" s="191">
        <v>2018</v>
      </c>
      <c r="E89" s="191"/>
      <c r="F89" s="193" t="s">
        <v>479</v>
      </c>
      <c r="G89" t="s">
        <v>154</v>
      </c>
      <c r="H89" s="193" t="s">
        <v>285</v>
      </c>
      <c r="I89" s="271">
        <f t="shared" si="12"/>
        <v>9.6925000000000008</v>
      </c>
      <c r="J89" s="271">
        <f t="shared" si="13"/>
        <v>9.6925000000000008</v>
      </c>
      <c r="L89" s="194">
        <f t="shared" si="14"/>
        <v>9.6925000000000008</v>
      </c>
      <c r="P89" t="s">
        <v>181</v>
      </c>
      <c r="Q89">
        <v>0.23261999999999999</v>
      </c>
      <c r="R89" t="s">
        <v>405</v>
      </c>
      <c r="S89">
        <f t="shared" si="11"/>
        <v>0.23261999999999999</v>
      </c>
      <c r="T89">
        <f>($C$8*S89)/0.0036/100</f>
        <v>9.6925000000000008</v>
      </c>
    </row>
    <row r="90" spans="3:20">
      <c r="C90" s="191" t="s">
        <v>48</v>
      </c>
      <c r="D90" s="191">
        <v>2019</v>
      </c>
      <c r="E90" s="191"/>
      <c r="F90" s="193" t="s">
        <v>479</v>
      </c>
      <c r="G90" t="s">
        <v>154</v>
      </c>
      <c r="H90" s="193" t="s">
        <v>285</v>
      </c>
      <c r="I90" s="271">
        <f t="shared" si="12"/>
        <v>0</v>
      </c>
      <c r="J90" s="271">
        <f t="shared" si="13"/>
        <v>0</v>
      </c>
      <c r="L90" s="194">
        <f t="shared" si="14"/>
        <v>0</v>
      </c>
      <c r="P90" t="s">
        <v>181</v>
      </c>
      <c r="Q90">
        <v>0.23261999999999999</v>
      </c>
      <c r="R90" t="s">
        <v>405</v>
      </c>
      <c r="S90">
        <f t="shared" si="11"/>
        <v>0.23261999999999999</v>
      </c>
      <c r="T90">
        <v>0</v>
      </c>
    </row>
    <row r="91" spans="3:20">
      <c r="C91" s="191" t="s">
        <v>48</v>
      </c>
      <c r="D91" s="191">
        <v>2010</v>
      </c>
      <c r="E91" s="191"/>
      <c r="F91" s="193" t="s">
        <v>169</v>
      </c>
      <c r="G91" t="s">
        <v>154</v>
      </c>
      <c r="H91" s="193" t="s">
        <v>285</v>
      </c>
      <c r="I91" s="271">
        <f t="shared" si="12"/>
        <v>10.314583333333333</v>
      </c>
      <c r="J91" s="271">
        <f t="shared" si="13"/>
        <v>10.314583333333333</v>
      </c>
      <c r="L91" s="194">
        <f t="shared" si="14"/>
        <v>10.314583333333333</v>
      </c>
      <c r="P91" t="s">
        <v>169</v>
      </c>
      <c r="Q91">
        <v>0.29754999999999998</v>
      </c>
      <c r="R91" s="38" t="s">
        <v>403</v>
      </c>
      <c r="S91">
        <f t="shared" si="11"/>
        <v>0.24754999999999999</v>
      </c>
      <c r="T91">
        <f t="shared" ref="T91" si="15">($C$8*S91)/0.0036/100</f>
        <v>10.314583333333333</v>
      </c>
    </row>
    <row r="92" spans="3:20">
      <c r="C92" s="191" t="s">
        <v>48</v>
      </c>
      <c r="D92" s="191">
        <v>2018</v>
      </c>
      <c r="E92" s="191"/>
      <c r="F92" s="193" t="s">
        <v>169</v>
      </c>
      <c r="G92" t="s">
        <v>154</v>
      </c>
      <c r="H92" s="193" t="s">
        <v>285</v>
      </c>
      <c r="I92" s="271">
        <f t="shared" si="12"/>
        <v>10.314583333333333</v>
      </c>
      <c r="J92" s="271">
        <f t="shared" si="13"/>
        <v>10.314583333333333</v>
      </c>
      <c r="L92" s="194">
        <f t="shared" si="14"/>
        <v>10.314583333333333</v>
      </c>
      <c r="P92" t="s">
        <v>169</v>
      </c>
      <c r="Q92">
        <v>0.29754999999999998</v>
      </c>
      <c r="R92" s="38" t="s">
        <v>403</v>
      </c>
      <c r="S92">
        <f t="shared" si="11"/>
        <v>0.24754999999999999</v>
      </c>
      <c r="T92">
        <f t="shared" si="4"/>
        <v>10.314583333333333</v>
      </c>
    </row>
    <row r="93" spans="3:20">
      <c r="C93" s="191" t="s">
        <v>48</v>
      </c>
      <c r="D93" s="191">
        <v>2019</v>
      </c>
      <c r="E93" s="191"/>
      <c r="F93" s="193" t="s">
        <v>169</v>
      </c>
      <c r="G93" t="s">
        <v>154</v>
      </c>
      <c r="H93" s="193" t="s">
        <v>285</v>
      </c>
      <c r="I93" s="271">
        <f t="shared" si="12"/>
        <v>0</v>
      </c>
      <c r="J93" s="271">
        <f t="shared" si="13"/>
        <v>0</v>
      </c>
      <c r="L93" s="194">
        <f t="shared" si="14"/>
        <v>0</v>
      </c>
      <c r="P93" t="s">
        <v>169</v>
      </c>
      <c r="Q93">
        <v>0.29754999999999998</v>
      </c>
      <c r="R93" t="s">
        <v>403</v>
      </c>
      <c r="S93">
        <f t="shared" si="11"/>
        <v>0.24754999999999999</v>
      </c>
      <c r="T93">
        <v>0</v>
      </c>
    </row>
    <row r="94" spans="3:20">
      <c r="C94" s="191" t="s">
        <v>48</v>
      </c>
      <c r="D94" s="191">
        <v>2010</v>
      </c>
      <c r="E94" s="191"/>
      <c r="F94" s="193" t="s">
        <v>170</v>
      </c>
      <c r="G94" t="s">
        <v>154</v>
      </c>
      <c r="H94" s="193" t="s">
        <v>285</v>
      </c>
      <c r="I94" s="271">
        <f t="shared" si="12"/>
        <v>10.314583333333333</v>
      </c>
      <c r="J94" s="271">
        <f t="shared" si="13"/>
        <v>10.314583333333333</v>
      </c>
      <c r="L94" s="194">
        <f t="shared" si="14"/>
        <v>10.314583333333333</v>
      </c>
      <c r="P94" t="s">
        <v>170</v>
      </c>
      <c r="Q94">
        <v>0.29754999999999998</v>
      </c>
      <c r="R94" t="s">
        <v>403</v>
      </c>
      <c r="S94">
        <f t="shared" si="11"/>
        <v>0.24754999999999999</v>
      </c>
      <c r="T94">
        <f t="shared" ref="T94" si="16">($C$8*S94)/0.0036/100</f>
        <v>10.314583333333333</v>
      </c>
    </row>
    <row r="95" spans="3:20">
      <c r="C95" s="191" t="s">
        <v>48</v>
      </c>
      <c r="D95" s="191">
        <v>2018</v>
      </c>
      <c r="E95" s="191"/>
      <c r="F95" s="193" t="s">
        <v>170</v>
      </c>
      <c r="G95" t="s">
        <v>154</v>
      </c>
      <c r="H95" s="193" t="s">
        <v>285</v>
      </c>
      <c r="I95" s="271">
        <f t="shared" si="12"/>
        <v>10.314583333333333</v>
      </c>
      <c r="J95" s="271">
        <f t="shared" si="13"/>
        <v>10.314583333333333</v>
      </c>
      <c r="L95" s="194">
        <f t="shared" si="14"/>
        <v>10.314583333333333</v>
      </c>
      <c r="P95" t="s">
        <v>170</v>
      </c>
      <c r="Q95">
        <v>0.29754999999999998</v>
      </c>
      <c r="R95" t="s">
        <v>403</v>
      </c>
      <c r="S95">
        <f t="shared" si="11"/>
        <v>0.24754999999999999</v>
      </c>
      <c r="T95">
        <f t="shared" si="4"/>
        <v>10.314583333333333</v>
      </c>
    </row>
    <row r="96" spans="3:20">
      <c r="C96" s="191" t="s">
        <v>48</v>
      </c>
      <c r="D96" s="191">
        <v>2019</v>
      </c>
      <c r="E96" s="191"/>
      <c r="F96" s="193" t="s">
        <v>170</v>
      </c>
      <c r="G96" t="s">
        <v>154</v>
      </c>
      <c r="H96" s="193" t="s">
        <v>285</v>
      </c>
      <c r="I96" s="271">
        <f t="shared" si="12"/>
        <v>0</v>
      </c>
      <c r="J96" s="271">
        <f t="shared" si="13"/>
        <v>0</v>
      </c>
      <c r="L96" s="194">
        <f t="shared" si="14"/>
        <v>0</v>
      </c>
      <c r="P96" t="s">
        <v>170</v>
      </c>
      <c r="Q96">
        <v>0.29754999999999998</v>
      </c>
      <c r="R96" t="s">
        <v>403</v>
      </c>
      <c r="S96">
        <f t="shared" si="11"/>
        <v>0.24754999999999999</v>
      </c>
      <c r="T96">
        <v>0</v>
      </c>
    </row>
    <row r="97" spans="3:20">
      <c r="C97" s="191" t="s">
        <v>48</v>
      </c>
      <c r="D97" s="191">
        <v>2010</v>
      </c>
      <c r="E97" s="191"/>
      <c r="F97" s="193" t="s">
        <v>413</v>
      </c>
      <c r="G97" t="s">
        <v>154</v>
      </c>
      <c r="H97" s="193" t="s">
        <v>285</v>
      </c>
      <c r="I97" s="271">
        <f t="shared" si="12"/>
        <v>7.2195833333333335</v>
      </c>
      <c r="J97" s="271">
        <f t="shared" si="13"/>
        <v>7.2195833333333335</v>
      </c>
      <c r="L97" s="194">
        <f t="shared" si="14"/>
        <v>7.2195833333333335</v>
      </c>
      <c r="P97" t="s">
        <v>413</v>
      </c>
      <c r="Q97">
        <v>0.17327000000000001</v>
      </c>
      <c r="R97" t="s">
        <v>405</v>
      </c>
      <c r="S97">
        <f t="shared" si="11"/>
        <v>0.17327000000000001</v>
      </c>
      <c r="T97">
        <f t="shared" ref="T97" si="17">($C$8*S97)/0.0036/100</f>
        <v>7.2195833333333335</v>
      </c>
    </row>
    <row r="98" spans="3:20">
      <c r="C98" s="191" t="s">
        <v>48</v>
      </c>
      <c r="D98" s="191">
        <v>2018</v>
      </c>
      <c r="E98" s="191"/>
      <c r="F98" s="193" t="s">
        <v>413</v>
      </c>
      <c r="G98" t="s">
        <v>154</v>
      </c>
      <c r="H98" s="193" t="s">
        <v>285</v>
      </c>
      <c r="I98" s="271">
        <f t="shared" si="12"/>
        <v>7.2195833333333335</v>
      </c>
      <c r="J98" s="271">
        <f t="shared" si="13"/>
        <v>7.2195833333333335</v>
      </c>
      <c r="L98" s="194">
        <f t="shared" si="14"/>
        <v>7.2195833333333335</v>
      </c>
      <c r="P98" t="s">
        <v>413</v>
      </c>
      <c r="Q98">
        <v>0.17327000000000001</v>
      </c>
      <c r="R98" t="s">
        <v>405</v>
      </c>
      <c r="S98">
        <f t="shared" si="11"/>
        <v>0.17327000000000001</v>
      </c>
      <c r="T98">
        <f t="shared" si="4"/>
        <v>7.2195833333333335</v>
      </c>
    </row>
    <row r="99" spans="3:20">
      <c r="C99" s="191" t="s">
        <v>48</v>
      </c>
      <c r="D99" s="191">
        <v>2019</v>
      </c>
      <c r="E99" s="191"/>
      <c r="F99" s="193" t="s">
        <v>413</v>
      </c>
      <c r="G99" t="s">
        <v>154</v>
      </c>
      <c r="H99" s="193" t="s">
        <v>285</v>
      </c>
      <c r="I99" s="271">
        <f t="shared" si="12"/>
        <v>0</v>
      </c>
      <c r="J99" s="271">
        <f t="shared" si="13"/>
        <v>0</v>
      </c>
      <c r="L99" s="194">
        <f t="shared" si="14"/>
        <v>0</v>
      </c>
      <c r="P99" t="s">
        <v>413</v>
      </c>
      <c r="Q99">
        <v>0.17327000000000001</v>
      </c>
      <c r="R99" t="s">
        <v>405</v>
      </c>
      <c r="S99">
        <f t="shared" si="11"/>
        <v>0.17327000000000001</v>
      </c>
      <c r="T99">
        <v>0</v>
      </c>
    </row>
    <row r="100" spans="3:20">
      <c r="C100" s="191" t="s">
        <v>48</v>
      </c>
      <c r="D100" s="191">
        <v>2010</v>
      </c>
      <c r="E100" s="191"/>
      <c r="F100" s="193" t="s">
        <v>420</v>
      </c>
      <c r="G100" t="s">
        <v>154</v>
      </c>
      <c r="H100" s="193" t="s">
        <v>285</v>
      </c>
      <c r="I100" s="271">
        <f t="shared" si="12"/>
        <v>8.9108333333333345</v>
      </c>
      <c r="J100" s="271">
        <f t="shared" si="13"/>
        <v>8.9108333333333345</v>
      </c>
      <c r="L100" s="194">
        <f t="shared" si="14"/>
        <v>8.9108333333333345</v>
      </c>
      <c r="P100" t="s">
        <v>420</v>
      </c>
      <c r="Q100">
        <v>0.21385999999999999</v>
      </c>
      <c r="R100" t="s">
        <v>405</v>
      </c>
      <c r="S100">
        <f t="shared" si="11"/>
        <v>0.21385999999999999</v>
      </c>
      <c r="T100">
        <f t="shared" ref="T100" si="18">($C$8*S100)/0.0036/100</f>
        <v>8.9108333333333345</v>
      </c>
    </row>
    <row r="101" spans="3:20">
      <c r="C101" s="191" t="s">
        <v>48</v>
      </c>
      <c r="D101" s="191">
        <v>2018</v>
      </c>
      <c r="E101" s="191"/>
      <c r="F101" s="193" t="s">
        <v>420</v>
      </c>
      <c r="G101" t="s">
        <v>154</v>
      </c>
      <c r="H101" s="193" t="s">
        <v>285</v>
      </c>
      <c r="I101" s="271">
        <f t="shared" si="12"/>
        <v>8.9108333333333345</v>
      </c>
      <c r="J101" s="271">
        <f t="shared" si="13"/>
        <v>8.9108333333333345</v>
      </c>
      <c r="L101" s="194">
        <f t="shared" si="14"/>
        <v>8.9108333333333345</v>
      </c>
      <c r="P101" t="s">
        <v>420</v>
      </c>
      <c r="Q101">
        <v>0.21385999999999999</v>
      </c>
      <c r="R101" t="s">
        <v>405</v>
      </c>
      <c r="S101">
        <f t="shared" si="11"/>
        <v>0.21385999999999999</v>
      </c>
      <c r="T101">
        <f t="shared" si="4"/>
        <v>8.9108333333333345</v>
      </c>
    </row>
    <row r="102" spans="3:20">
      <c r="C102" s="191" t="s">
        <v>48</v>
      </c>
      <c r="D102" s="191">
        <v>2019</v>
      </c>
      <c r="E102" s="191"/>
      <c r="F102" s="193" t="s">
        <v>420</v>
      </c>
      <c r="G102" t="s">
        <v>154</v>
      </c>
      <c r="H102" s="193" t="s">
        <v>285</v>
      </c>
      <c r="I102" s="271">
        <f t="shared" si="12"/>
        <v>0</v>
      </c>
      <c r="J102" s="271">
        <f t="shared" si="13"/>
        <v>0</v>
      </c>
      <c r="L102" s="194">
        <f t="shared" si="14"/>
        <v>0</v>
      </c>
      <c r="P102" t="s">
        <v>420</v>
      </c>
      <c r="Q102">
        <v>0.21385999999999999</v>
      </c>
      <c r="R102" t="s">
        <v>405</v>
      </c>
      <c r="S102">
        <f t="shared" si="11"/>
        <v>0.21385999999999999</v>
      </c>
      <c r="T102">
        <v>0</v>
      </c>
    </row>
    <row r="103" spans="3:20">
      <c r="C103" s="191" t="s">
        <v>48</v>
      </c>
      <c r="D103" s="191">
        <v>2010</v>
      </c>
      <c r="E103" s="191"/>
      <c r="F103" s="193" t="s">
        <v>171</v>
      </c>
      <c r="G103" t="s">
        <v>154</v>
      </c>
      <c r="H103" s="193" t="s">
        <v>285</v>
      </c>
      <c r="I103" s="271">
        <f t="shared" si="12"/>
        <v>7.3033333333333337</v>
      </c>
      <c r="J103" s="271">
        <f t="shared" si="13"/>
        <v>7.3033333333333337</v>
      </c>
      <c r="L103" s="194">
        <f t="shared" si="14"/>
        <v>7.3033333333333337</v>
      </c>
      <c r="P103" t="s">
        <v>171</v>
      </c>
      <c r="Q103">
        <v>0.17527999999999999</v>
      </c>
      <c r="R103" t="s">
        <v>405</v>
      </c>
      <c r="S103">
        <f t="shared" si="11"/>
        <v>0.17527999999999999</v>
      </c>
      <c r="T103">
        <f t="shared" ref="T103" si="19">($C$8*S103)/0.0036/100</f>
        <v>7.3033333333333337</v>
      </c>
    </row>
    <row r="104" spans="3:20">
      <c r="C104" s="191" t="s">
        <v>48</v>
      </c>
      <c r="D104" s="191">
        <v>2018</v>
      </c>
      <c r="E104" s="191"/>
      <c r="F104" s="193" t="s">
        <v>171</v>
      </c>
      <c r="G104" t="s">
        <v>154</v>
      </c>
      <c r="H104" s="193" t="s">
        <v>285</v>
      </c>
      <c r="I104" s="271">
        <f t="shared" si="12"/>
        <v>7.3033333333333337</v>
      </c>
      <c r="J104" s="271">
        <f t="shared" si="13"/>
        <v>7.3033333333333337</v>
      </c>
      <c r="L104" s="194">
        <f t="shared" si="14"/>
        <v>7.3033333333333337</v>
      </c>
      <c r="P104" t="s">
        <v>171</v>
      </c>
      <c r="Q104">
        <v>0.17527999999999999</v>
      </c>
      <c r="R104" t="s">
        <v>405</v>
      </c>
      <c r="S104">
        <f t="shared" si="11"/>
        <v>0.17527999999999999</v>
      </c>
      <c r="T104">
        <f t="shared" si="4"/>
        <v>7.3033333333333337</v>
      </c>
    </row>
    <row r="105" spans="3:20">
      <c r="C105" s="191" t="s">
        <v>48</v>
      </c>
      <c r="D105" s="191">
        <v>2019</v>
      </c>
      <c r="E105" s="191"/>
      <c r="F105" s="193" t="s">
        <v>171</v>
      </c>
      <c r="G105" t="s">
        <v>154</v>
      </c>
      <c r="H105" s="193" t="s">
        <v>285</v>
      </c>
      <c r="I105" s="271">
        <f t="shared" si="12"/>
        <v>0</v>
      </c>
      <c r="J105" s="271">
        <f t="shared" si="13"/>
        <v>0</v>
      </c>
      <c r="L105" s="194">
        <f t="shared" si="14"/>
        <v>0</v>
      </c>
      <c r="P105" t="s">
        <v>171</v>
      </c>
      <c r="Q105">
        <v>0.17527999999999999</v>
      </c>
      <c r="R105" t="s">
        <v>405</v>
      </c>
      <c r="S105">
        <f t="shared" si="11"/>
        <v>0.17527999999999999</v>
      </c>
      <c r="T105">
        <v>0</v>
      </c>
    </row>
    <row r="106" spans="3:20">
      <c r="C106" s="191" t="s">
        <v>48</v>
      </c>
      <c r="D106" s="191">
        <v>2010</v>
      </c>
      <c r="E106" s="191"/>
      <c r="F106" s="193" t="s">
        <v>421</v>
      </c>
      <c r="G106" t="s">
        <v>154</v>
      </c>
      <c r="H106" s="193" t="s">
        <v>285</v>
      </c>
      <c r="I106" s="271">
        <f t="shared" si="12"/>
        <v>9.2550000000000008</v>
      </c>
      <c r="J106" s="271">
        <f t="shared" si="13"/>
        <v>9.2550000000000008</v>
      </c>
      <c r="L106" s="194">
        <f t="shared" si="14"/>
        <v>9.2550000000000008</v>
      </c>
      <c r="P106" t="s">
        <v>421</v>
      </c>
      <c r="Q106">
        <v>0.22212000000000001</v>
      </c>
      <c r="R106" t="s">
        <v>405</v>
      </c>
      <c r="S106">
        <f t="shared" si="11"/>
        <v>0.22212000000000001</v>
      </c>
      <c r="T106">
        <f t="shared" ref="T106" si="20">($C$8*S106)/0.0036/100</f>
        <v>9.2550000000000008</v>
      </c>
    </row>
    <row r="107" spans="3:20">
      <c r="C107" s="191" t="s">
        <v>48</v>
      </c>
      <c r="D107" s="191">
        <v>2018</v>
      </c>
      <c r="E107" s="191"/>
      <c r="F107" s="193" t="s">
        <v>421</v>
      </c>
      <c r="G107" t="s">
        <v>154</v>
      </c>
      <c r="H107" s="193" t="s">
        <v>285</v>
      </c>
      <c r="I107" s="271">
        <f t="shared" si="12"/>
        <v>9.2550000000000008</v>
      </c>
      <c r="J107" s="271">
        <f t="shared" si="13"/>
        <v>9.2550000000000008</v>
      </c>
      <c r="L107" s="194">
        <f t="shared" si="14"/>
        <v>9.2550000000000008</v>
      </c>
      <c r="P107" t="s">
        <v>421</v>
      </c>
      <c r="Q107">
        <v>0.22212000000000001</v>
      </c>
      <c r="R107" t="s">
        <v>405</v>
      </c>
      <c r="S107">
        <f t="shared" si="11"/>
        <v>0.22212000000000001</v>
      </c>
      <c r="T107">
        <f t="shared" si="4"/>
        <v>9.2550000000000008</v>
      </c>
    </row>
    <row r="108" spans="3:20">
      <c r="C108" s="191" t="s">
        <v>48</v>
      </c>
      <c r="D108" s="191">
        <v>2019</v>
      </c>
      <c r="E108" s="191"/>
      <c r="F108" s="193" t="s">
        <v>421</v>
      </c>
      <c r="G108" t="s">
        <v>154</v>
      </c>
      <c r="H108" s="193" t="s">
        <v>285</v>
      </c>
      <c r="I108" s="271">
        <f t="shared" si="12"/>
        <v>0</v>
      </c>
      <c r="J108" s="271">
        <f t="shared" si="13"/>
        <v>0</v>
      </c>
      <c r="L108" s="194">
        <f t="shared" si="14"/>
        <v>0</v>
      </c>
      <c r="P108" t="s">
        <v>421</v>
      </c>
      <c r="Q108">
        <v>0.22212000000000001</v>
      </c>
      <c r="R108" t="s">
        <v>405</v>
      </c>
      <c r="S108">
        <f t="shared" si="11"/>
        <v>0.22212000000000001</v>
      </c>
      <c r="T108">
        <v>0</v>
      </c>
    </row>
    <row r="109" spans="3:20">
      <c r="C109" s="191" t="s">
        <v>48</v>
      </c>
      <c r="D109" s="191">
        <v>2010</v>
      </c>
      <c r="E109" s="191"/>
      <c r="F109" s="193" t="s">
        <v>100</v>
      </c>
      <c r="G109" t="s">
        <v>154</v>
      </c>
      <c r="H109" s="193" t="s">
        <v>285</v>
      </c>
      <c r="I109" s="271">
        <f t="shared" si="12"/>
        <v>6.2787499999999996</v>
      </c>
      <c r="J109" s="271">
        <f t="shared" si="13"/>
        <v>6.2787499999999996</v>
      </c>
      <c r="L109" s="194">
        <f t="shared" si="14"/>
        <v>6.2787499999999996</v>
      </c>
      <c r="P109" t="s">
        <v>100</v>
      </c>
      <c r="Q109">
        <v>0.15068999999999999</v>
      </c>
      <c r="R109" t="s">
        <v>405</v>
      </c>
      <c r="S109">
        <f t="shared" si="11"/>
        <v>0.15068999999999999</v>
      </c>
      <c r="T109">
        <f t="shared" ref="T109" si="21">($C$8*S109)/0.0036/100</f>
        <v>6.2787499999999996</v>
      </c>
    </row>
    <row r="110" spans="3:20">
      <c r="C110" s="191" t="s">
        <v>48</v>
      </c>
      <c r="D110" s="191">
        <v>2018</v>
      </c>
      <c r="E110" s="191"/>
      <c r="F110" s="193" t="s">
        <v>100</v>
      </c>
      <c r="G110" t="s">
        <v>154</v>
      </c>
      <c r="H110" s="193" t="s">
        <v>285</v>
      </c>
      <c r="I110" s="271">
        <f t="shared" si="12"/>
        <v>6.2787499999999996</v>
      </c>
      <c r="J110" s="271">
        <f t="shared" si="13"/>
        <v>6.2787499999999996</v>
      </c>
      <c r="L110" s="194">
        <f t="shared" si="14"/>
        <v>6.2787499999999996</v>
      </c>
      <c r="P110" t="s">
        <v>100</v>
      </c>
      <c r="Q110">
        <v>0.15068999999999999</v>
      </c>
      <c r="R110" t="s">
        <v>405</v>
      </c>
      <c r="S110">
        <f t="shared" si="11"/>
        <v>0.15068999999999999</v>
      </c>
      <c r="T110">
        <f t="shared" si="4"/>
        <v>6.2787499999999996</v>
      </c>
    </row>
    <row r="111" spans="3:20">
      <c r="C111" s="191" t="s">
        <v>48</v>
      </c>
      <c r="D111" s="191">
        <v>2019</v>
      </c>
      <c r="E111" s="191"/>
      <c r="F111" s="193" t="s">
        <v>100</v>
      </c>
      <c r="G111" t="s">
        <v>154</v>
      </c>
      <c r="H111" s="193" t="s">
        <v>285</v>
      </c>
      <c r="I111" s="271">
        <f t="shared" si="12"/>
        <v>0</v>
      </c>
      <c r="J111" s="271">
        <f t="shared" si="13"/>
        <v>0</v>
      </c>
      <c r="L111" s="194">
        <f t="shared" si="14"/>
        <v>0</v>
      </c>
      <c r="P111" t="s">
        <v>100</v>
      </c>
      <c r="Q111">
        <v>0.15068999999999999</v>
      </c>
      <c r="R111" t="s">
        <v>405</v>
      </c>
      <c r="S111">
        <f t="shared" si="11"/>
        <v>0.15068999999999999</v>
      </c>
      <c r="T111">
        <v>0</v>
      </c>
    </row>
    <row r="112" spans="3:20">
      <c r="C112" s="191" t="s">
        <v>48</v>
      </c>
      <c r="D112" s="191">
        <v>2010</v>
      </c>
      <c r="E112" s="191"/>
      <c r="F112" s="193" t="s">
        <v>172</v>
      </c>
      <c r="G112" t="s">
        <v>154</v>
      </c>
      <c r="H112" s="193" t="s">
        <v>285</v>
      </c>
      <c r="I112" s="271">
        <f t="shared" si="12"/>
        <v>10.2125</v>
      </c>
      <c r="J112" s="271">
        <f t="shared" si="13"/>
        <v>10.2125</v>
      </c>
      <c r="L112" s="194">
        <f t="shared" si="14"/>
        <v>10.2125</v>
      </c>
      <c r="P112" t="s">
        <v>172</v>
      </c>
      <c r="Q112">
        <v>0.24510000000000001</v>
      </c>
      <c r="R112" t="s">
        <v>405</v>
      </c>
      <c r="S112">
        <f t="shared" si="11"/>
        <v>0.24510000000000001</v>
      </c>
      <c r="T112">
        <f t="shared" ref="T112" si="22">($C$8*S112)/0.0036/100</f>
        <v>10.2125</v>
      </c>
    </row>
    <row r="113" spans="3:20">
      <c r="C113" s="191" t="s">
        <v>48</v>
      </c>
      <c r="D113" s="191">
        <v>2018</v>
      </c>
      <c r="E113" s="191"/>
      <c r="F113" s="193" t="s">
        <v>172</v>
      </c>
      <c r="G113" t="s">
        <v>154</v>
      </c>
      <c r="H113" s="193" t="s">
        <v>285</v>
      </c>
      <c r="I113" s="271">
        <f t="shared" si="12"/>
        <v>10.2125</v>
      </c>
      <c r="J113" s="271">
        <f t="shared" si="13"/>
        <v>10.2125</v>
      </c>
      <c r="L113" s="194">
        <f t="shared" si="14"/>
        <v>10.2125</v>
      </c>
      <c r="P113" t="s">
        <v>172</v>
      </c>
      <c r="Q113">
        <v>0.24510000000000001</v>
      </c>
      <c r="R113" t="s">
        <v>405</v>
      </c>
      <c r="S113">
        <f t="shared" si="11"/>
        <v>0.24510000000000001</v>
      </c>
      <c r="T113">
        <f t="shared" si="4"/>
        <v>10.2125</v>
      </c>
    </row>
    <row r="114" spans="3:20">
      <c r="C114" s="191" t="s">
        <v>48</v>
      </c>
      <c r="D114" s="191">
        <v>2019</v>
      </c>
      <c r="E114" s="191"/>
      <c r="F114" s="193" t="s">
        <v>172</v>
      </c>
      <c r="G114" t="s">
        <v>154</v>
      </c>
      <c r="H114" s="193" t="s">
        <v>285</v>
      </c>
      <c r="I114" s="271">
        <f t="shared" si="12"/>
        <v>0</v>
      </c>
      <c r="J114" s="271">
        <f t="shared" si="13"/>
        <v>0</v>
      </c>
      <c r="L114" s="194">
        <f t="shared" si="14"/>
        <v>0</v>
      </c>
      <c r="P114" t="s">
        <v>172</v>
      </c>
      <c r="Q114">
        <v>0.24510000000000001</v>
      </c>
      <c r="R114" t="s">
        <v>405</v>
      </c>
      <c r="S114">
        <f t="shared" si="11"/>
        <v>0.24510000000000001</v>
      </c>
      <c r="T114">
        <v>0</v>
      </c>
    </row>
    <row r="115" spans="3:20">
      <c r="C115" s="191" t="s">
        <v>48</v>
      </c>
      <c r="D115" s="191">
        <v>2010</v>
      </c>
      <c r="E115" s="191"/>
      <c r="F115" s="193" t="s">
        <v>173</v>
      </c>
      <c r="G115" t="s">
        <v>154</v>
      </c>
      <c r="H115" s="193" t="s">
        <v>285</v>
      </c>
      <c r="I115" s="271">
        <f t="shared" si="12"/>
        <v>5.375</v>
      </c>
      <c r="J115" s="271">
        <f t="shared" si="13"/>
        <v>5.375</v>
      </c>
      <c r="L115" s="194">
        <f t="shared" si="14"/>
        <v>5.375</v>
      </c>
      <c r="P115" t="s">
        <v>173</v>
      </c>
      <c r="Q115">
        <v>0.129</v>
      </c>
      <c r="R115" t="s">
        <v>405</v>
      </c>
      <c r="S115">
        <f t="shared" si="11"/>
        <v>0.129</v>
      </c>
      <c r="T115">
        <f t="shared" ref="T115" si="23">($C$8*S115)/0.0036/100</f>
        <v>5.375</v>
      </c>
    </row>
    <row r="116" spans="3:20">
      <c r="C116" s="191" t="s">
        <v>48</v>
      </c>
      <c r="D116" s="191">
        <v>2018</v>
      </c>
      <c r="E116" s="191"/>
      <c r="F116" s="193" t="s">
        <v>173</v>
      </c>
      <c r="G116" t="s">
        <v>154</v>
      </c>
      <c r="H116" s="193" t="s">
        <v>285</v>
      </c>
      <c r="I116" s="271">
        <f t="shared" si="12"/>
        <v>5.375</v>
      </c>
      <c r="J116" s="271">
        <f t="shared" si="13"/>
        <v>5.375</v>
      </c>
      <c r="L116" s="194">
        <f t="shared" si="14"/>
        <v>5.375</v>
      </c>
      <c r="P116" t="s">
        <v>173</v>
      </c>
      <c r="Q116">
        <v>0.129</v>
      </c>
      <c r="R116" t="s">
        <v>405</v>
      </c>
      <c r="S116">
        <f t="shared" si="11"/>
        <v>0.129</v>
      </c>
      <c r="T116">
        <f t="shared" si="4"/>
        <v>5.375</v>
      </c>
    </row>
    <row r="117" spans="3:20">
      <c r="C117" s="191" t="s">
        <v>48</v>
      </c>
      <c r="D117" s="191">
        <v>2019</v>
      </c>
      <c r="E117" s="191"/>
      <c r="F117" s="193" t="s">
        <v>173</v>
      </c>
      <c r="G117" t="s">
        <v>154</v>
      </c>
      <c r="H117" s="193" t="s">
        <v>285</v>
      </c>
      <c r="I117" s="271">
        <f t="shared" si="12"/>
        <v>0</v>
      </c>
      <c r="J117" s="271">
        <f t="shared" si="13"/>
        <v>0</v>
      </c>
      <c r="L117" s="194">
        <f t="shared" si="14"/>
        <v>0</v>
      </c>
      <c r="P117" t="s">
        <v>173</v>
      </c>
      <c r="Q117">
        <v>0.129</v>
      </c>
      <c r="R117" t="s">
        <v>405</v>
      </c>
      <c r="S117">
        <f t="shared" si="11"/>
        <v>0.129</v>
      </c>
      <c r="T117">
        <v>0</v>
      </c>
    </row>
    <row r="118" spans="3:20">
      <c r="C118" s="191" t="s">
        <v>48</v>
      </c>
      <c r="D118" s="191">
        <v>2010</v>
      </c>
      <c r="E118" s="191"/>
      <c r="F118" s="193" t="s">
        <v>167</v>
      </c>
      <c r="G118" t="s">
        <v>154</v>
      </c>
      <c r="H118" s="193" t="s">
        <v>285</v>
      </c>
      <c r="I118" s="271">
        <f t="shared" si="12"/>
        <v>9.6925000000000008</v>
      </c>
      <c r="J118" s="271">
        <f t="shared" si="13"/>
        <v>9.6925000000000008</v>
      </c>
      <c r="L118" s="194">
        <f t="shared" si="14"/>
        <v>9.6925000000000008</v>
      </c>
      <c r="P118" t="s">
        <v>167</v>
      </c>
      <c r="Q118">
        <v>0.23261999999999999</v>
      </c>
      <c r="R118" t="s">
        <v>405</v>
      </c>
      <c r="S118">
        <f t="shared" si="11"/>
        <v>0.23261999999999999</v>
      </c>
      <c r="T118">
        <f t="shared" ref="T118" si="24">($C$8*S118)/0.0036/100</f>
        <v>9.6925000000000008</v>
      </c>
    </row>
    <row r="119" spans="3:20">
      <c r="C119" s="191" t="s">
        <v>48</v>
      </c>
      <c r="D119" s="191">
        <v>2018</v>
      </c>
      <c r="E119" s="191"/>
      <c r="F119" s="193" t="s">
        <v>167</v>
      </c>
      <c r="G119" t="s">
        <v>154</v>
      </c>
      <c r="H119" s="193" t="s">
        <v>285</v>
      </c>
      <c r="I119" s="271">
        <f t="shared" si="12"/>
        <v>9.6925000000000008</v>
      </c>
      <c r="J119" s="271">
        <f t="shared" si="13"/>
        <v>9.6925000000000008</v>
      </c>
      <c r="L119" s="194">
        <f t="shared" si="14"/>
        <v>9.6925000000000008</v>
      </c>
      <c r="P119" t="s">
        <v>167</v>
      </c>
      <c r="Q119">
        <v>0.23261999999999999</v>
      </c>
      <c r="R119" t="s">
        <v>405</v>
      </c>
      <c r="S119">
        <f t="shared" si="11"/>
        <v>0.23261999999999999</v>
      </c>
      <c r="T119">
        <f t="shared" si="4"/>
        <v>9.6925000000000008</v>
      </c>
    </row>
    <row r="120" spans="3:20">
      <c r="C120" s="191" t="s">
        <v>48</v>
      </c>
      <c r="D120" s="191">
        <v>2019</v>
      </c>
      <c r="E120" s="191"/>
      <c r="F120" s="193" t="s">
        <v>167</v>
      </c>
      <c r="G120" t="s">
        <v>154</v>
      </c>
      <c r="H120" s="193" t="s">
        <v>285</v>
      </c>
      <c r="I120" s="271">
        <f t="shared" si="12"/>
        <v>0</v>
      </c>
      <c r="J120" s="271">
        <f t="shared" si="13"/>
        <v>0</v>
      </c>
      <c r="L120" s="194">
        <f t="shared" si="14"/>
        <v>0</v>
      </c>
      <c r="P120" t="s">
        <v>167</v>
      </c>
      <c r="Q120">
        <v>0.23261999999999999</v>
      </c>
      <c r="R120" t="s">
        <v>405</v>
      </c>
      <c r="S120">
        <f t="shared" si="11"/>
        <v>0.23261999999999999</v>
      </c>
      <c r="T120">
        <v>0</v>
      </c>
    </row>
    <row r="121" spans="3:20">
      <c r="C121" s="191" t="s">
        <v>48</v>
      </c>
      <c r="D121" s="191">
        <v>2010</v>
      </c>
      <c r="E121" s="191"/>
      <c r="F121" s="193" t="s">
        <v>174</v>
      </c>
      <c r="G121" t="s">
        <v>154</v>
      </c>
      <c r="H121" s="193" t="s">
        <v>285</v>
      </c>
      <c r="I121" s="271">
        <f t="shared" si="12"/>
        <v>7.2312500000000002</v>
      </c>
      <c r="J121" s="271">
        <f t="shared" si="13"/>
        <v>7.2312500000000002</v>
      </c>
      <c r="L121" s="194">
        <f t="shared" si="14"/>
        <v>7.2312500000000002</v>
      </c>
      <c r="P121" t="s">
        <v>174</v>
      </c>
      <c r="Q121">
        <v>0.17355000000000001</v>
      </c>
      <c r="R121" t="s">
        <v>405</v>
      </c>
      <c r="S121">
        <f t="shared" si="11"/>
        <v>0.17355000000000001</v>
      </c>
      <c r="T121">
        <f t="shared" ref="T121" si="25">($C$8*S121)/0.0036/100</f>
        <v>7.2312500000000002</v>
      </c>
    </row>
    <row r="122" spans="3:20">
      <c r="C122" s="191" t="s">
        <v>48</v>
      </c>
      <c r="D122" s="191">
        <v>2018</v>
      </c>
      <c r="E122" s="191"/>
      <c r="F122" s="193" t="s">
        <v>174</v>
      </c>
      <c r="G122" t="s">
        <v>154</v>
      </c>
      <c r="H122" s="193" t="s">
        <v>285</v>
      </c>
      <c r="I122" s="271">
        <f t="shared" si="12"/>
        <v>7.2312500000000002</v>
      </c>
      <c r="J122" s="271">
        <f t="shared" si="13"/>
        <v>7.2312500000000002</v>
      </c>
      <c r="L122" s="194">
        <f t="shared" si="14"/>
        <v>7.2312500000000002</v>
      </c>
      <c r="P122" t="s">
        <v>174</v>
      </c>
      <c r="Q122">
        <v>0.17355000000000001</v>
      </c>
      <c r="R122" t="s">
        <v>405</v>
      </c>
      <c r="S122">
        <f>IF(R122="FX",Q122,Q122-$Q$15)</f>
        <v>0.17355000000000001</v>
      </c>
      <c r="T122">
        <f t="shared" si="4"/>
        <v>7.2312500000000002</v>
      </c>
    </row>
    <row r="123" spans="3:20">
      <c r="C123" s="191" t="s">
        <v>48</v>
      </c>
      <c r="D123" s="191">
        <v>2019</v>
      </c>
      <c r="E123" s="191"/>
      <c r="F123" s="193" t="s">
        <v>174</v>
      </c>
      <c r="G123" t="s">
        <v>154</v>
      </c>
      <c r="H123" s="193" t="s">
        <v>285</v>
      </c>
      <c r="I123" s="271">
        <f t="shared" si="12"/>
        <v>0</v>
      </c>
      <c r="J123" s="271">
        <f t="shared" si="13"/>
        <v>0</v>
      </c>
      <c r="L123" s="194">
        <f t="shared" si="14"/>
        <v>0</v>
      </c>
      <c r="P123" t="s">
        <v>174</v>
      </c>
      <c r="Q123">
        <v>0.17355000000000001</v>
      </c>
      <c r="R123" t="s">
        <v>405</v>
      </c>
      <c r="S123">
        <f>IF(R123="FX",Q123,Q123-$Q$15)</f>
        <v>0.17355000000000001</v>
      </c>
      <c r="T123">
        <v>0</v>
      </c>
    </row>
    <row r="124" spans="3:20">
      <c r="C124" s="191" t="s">
        <v>48</v>
      </c>
      <c r="D124" s="191">
        <v>2010</v>
      </c>
      <c r="E124" s="191"/>
      <c r="F124" s="193" t="s">
        <v>422</v>
      </c>
      <c r="G124" t="s">
        <v>154</v>
      </c>
      <c r="H124" s="193" t="s">
        <v>285</v>
      </c>
      <c r="I124" s="271">
        <f t="shared" si="12"/>
        <v>11.411250000000003</v>
      </c>
      <c r="J124" s="271">
        <f t="shared" si="13"/>
        <v>11.411250000000003</v>
      </c>
      <c r="L124" s="194">
        <f t="shared" si="14"/>
        <v>11.411250000000003</v>
      </c>
      <c r="P124" t="s">
        <v>422</v>
      </c>
      <c r="Q124">
        <v>0.27387</v>
      </c>
      <c r="R124" t="s">
        <v>405</v>
      </c>
      <c r="S124">
        <f t="shared" ref="S124" si="26">IF(R124="FX",Q124,Q124-$Q$15)</f>
        <v>0.27387</v>
      </c>
      <c r="T124">
        <f t="shared" ref="T124:T143" si="27">($C$8*S124)/0.0036/100</f>
        <v>11.411250000000003</v>
      </c>
    </row>
    <row r="125" spans="3:20">
      <c r="C125" s="191" t="s">
        <v>48</v>
      </c>
      <c r="D125" s="191">
        <v>2018</v>
      </c>
      <c r="E125" s="191"/>
      <c r="F125" s="193" t="s">
        <v>422</v>
      </c>
      <c r="G125" t="s">
        <v>154</v>
      </c>
      <c r="H125" s="193" t="s">
        <v>285</v>
      </c>
      <c r="I125" s="271">
        <f t="shared" si="12"/>
        <v>11.411250000000003</v>
      </c>
      <c r="J125" s="271">
        <f t="shared" si="13"/>
        <v>11.411250000000003</v>
      </c>
      <c r="L125" s="194">
        <f t="shared" si="14"/>
        <v>11.411250000000003</v>
      </c>
      <c r="P125" t="s">
        <v>422</v>
      </c>
      <c r="Q125">
        <v>0.27387</v>
      </c>
      <c r="R125" t="s">
        <v>405</v>
      </c>
      <c r="S125">
        <f>IF(R125="FX",Q125,Q125-$Q$15)</f>
        <v>0.27387</v>
      </c>
      <c r="T125">
        <f t="shared" si="27"/>
        <v>11.411250000000003</v>
      </c>
    </row>
    <row r="126" spans="3:20">
      <c r="C126" s="191" t="s">
        <v>48</v>
      </c>
      <c r="D126" s="191">
        <v>2019</v>
      </c>
      <c r="E126" s="191"/>
      <c r="F126" s="193" t="s">
        <v>422</v>
      </c>
      <c r="G126" t="s">
        <v>154</v>
      </c>
      <c r="H126" s="193" t="s">
        <v>285</v>
      </c>
      <c r="I126" s="271">
        <f t="shared" si="12"/>
        <v>0</v>
      </c>
      <c r="J126" s="271">
        <f t="shared" si="13"/>
        <v>0</v>
      </c>
      <c r="L126" s="194">
        <f t="shared" si="14"/>
        <v>0</v>
      </c>
      <c r="P126" t="s">
        <v>422</v>
      </c>
      <c r="Q126">
        <v>0.27387</v>
      </c>
      <c r="R126" t="s">
        <v>405</v>
      </c>
      <c r="S126">
        <f>IF(R126="FX",Q126,Q126-$Q$15)</f>
        <v>0.27387</v>
      </c>
      <c r="T126">
        <v>0</v>
      </c>
    </row>
    <row r="127" spans="3:20">
      <c r="C127" s="191" t="s">
        <v>48</v>
      </c>
      <c r="D127" s="191">
        <v>2010</v>
      </c>
      <c r="E127" s="191"/>
      <c r="F127" s="193" t="s">
        <v>415</v>
      </c>
      <c r="G127" t="s">
        <v>154</v>
      </c>
      <c r="H127" s="193" t="s">
        <v>285</v>
      </c>
      <c r="I127" s="271">
        <f t="shared" si="12"/>
        <v>3.9658333333333333</v>
      </c>
      <c r="J127" s="271">
        <f t="shared" si="13"/>
        <v>3.9658333333333333</v>
      </c>
      <c r="L127" s="194">
        <f t="shared" si="14"/>
        <v>3.9658333333333333</v>
      </c>
      <c r="P127" t="s">
        <v>415</v>
      </c>
      <c r="Q127">
        <v>9.5180000000000001E-2</v>
      </c>
      <c r="R127" t="s">
        <v>405</v>
      </c>
      <c r="S127">
        <f t="shared" ref="S127" si="28">IF(R127="FX",Q127,Q127-$Q$15)</f>
        <v>9.5180000000000001E-2</v>
      </c>
      <c r="T127">
        <f t="shared" ref="T127" si="29">($C$8*S127)/0.0036/100</f>
        <v>3.9658333333333333</v>
      </c>
    </row>
    <row r="128" spans="3:20">
      <c r="C128" s="191" t="s">
        <v>48</v>
      </c>
      <c r="D128" s="191">
        <v>2018</v>
      </c>
      <c r="E128" s="191"/>
      <c r="F128" s="193" t="s">
        <v>415</v>
      </c>
      <c r="G128" t="s">
        <v>154</v>
      </c>
      <c r="H128" s="193" t="s">
        <v>285</v>
      </c>
      <c r="I128" s="271">
        <f t="shared" si="12"/>
        <v>3.9658333333333333</v>
      </c>
      <c r="J128" s="271">
        <f t="shared" si="13"/>
        <v>3.9658333333333333</v>
      </c>
      <c r="L128" s="194">
        <f t="shared" si="14"/>
        <v>3.9658333333333333</v>
      </c>
      <c r="P128" t="s">
        <v>415</v>
      </c>
      <c r="Q128">
        <v>9.5180000000000001E-2</v>
      </c>
      <c r="R128" t="s">
        <v>405</v>
      </c>
      <c r="S128">
        <f>IF(R128="FX",Q128,Q128-$Q$15)</f>
        <v>9.5180000000000001E-2</v>
      </c>
      <c r="T128">
        <f t="shared" si="27"/>
        <v>3.9658333333333333</v>
      </c>
    </row>
    <row r="129" spans="3:20">
      <c r="C129" s="191" t="s">
        <v>48</v>
      </c>
      <c r="D129" s="191">
        <v>2019</v>
      </c>
      <c r="E129" s="191"/>
      <c r="F129" s="193" t="s">
        <v>415</v>
      </c>
      <c r="G129" t="s">
        <v>154</v>
      </c>
      <c r="H129" s="193" t="s">
        <v>285</v>
      </c>
      <c r="I129" s="271">
        <f t="shared" si="12"/>
        <v>0</v>
      </c>
      <c r="J129" s="271">
        <f t="shared" si="13"/>
        <v>0</v>
      </c>
      <c r="L129" s="194">
        <f t="shared" si="14"/>
        <v>0</v>
      </c>
      <c r="P129" t="s">
        <v>415</v>
      </c>
      <c r="Q129">
        <v>9.5180000000000001E-2</v>
      </c>
      <c r="R129" t="s">
        <v>405</v>
      </c>
      <c r="S129">
        <f>IF(R129="FX",Q129,Q129-$Q$15)</f>
        <v>9.5180000000000001E-2</v>
      </c>
      <c r="T129">
        <v>0</v>
      </c>
    </row>
    <row r="130" spans="3:20">
      <c r="C130" s="191" t="s">
        <v>48</v>
      </c>
      <c r="D130" s="191">
        <v>2010</v>
      </c>
      <c r="E130" s="191"/>
      <c r="F130" s="193" t="s">
        <v>423</v>
      </c>
      <c r="G130" t="s">
        <v>154</v>
      </c>
      <c r="H130" s="193" t="s">
        <v>285</v>
      </c>
      <c r="I130" s="271">
        <f t="shared" si="12"/>
        <v>8.3333333333333339</v>
      </c>
      <c r="J130" s="271">
        <f t="shared" si="13"/>
        <v>8.3333333333333339</v>
      </c>
      <c r="L130" s="194">
        <f t="shared" si="14"/>
        <v>8.3333333333333339</v>
      </c>
      <c r="P130" t="s">
        <v>423</v>
      </c>
      <c r="Q130">
        <v>0.25</v>
      </c>
      <c r="R130" t="s">
        <v>403</v>
      </c>
      <c r="S130">
        <f t="shared" ref="S130" si="30">IF(R130="FX",Q130,Q130-$Q$15)</f>
        <v>0.2</v>
      </c>
      <c r="T130">
        <f t="shared" ref="T130" si="31">($C$8*S130)/0.0036/100</f>
        <v>8.3333333333333339</v>
      </c>
    </row>
    <row r="131" spans="3:20">
      <c r="C131" s="191" t="s">
        <v>48</v>
      </c>
      <c r="D131" s="191">
        <v>2018</v>
      </c>
      <c r="E131" s="191"/>
      <c r="F131" s="193" t="s">
        <v>423</v>
      </c>
      <c r="G131" t="s">
        <v>154</v>
      </c>
      <c r="H131" s="193" t="s">
        <v>285</v>
      </c>
      <c r="I131" s="271">
        <f t="shared" si="12"/>
        <v>8.3333333333333339</v>
      </c>
      <c r="J131" s="271">
        <f t="shared" si="13"/>
        <v>8.3333333333333339</v>
      </c>
      <c r="L131" s="194">
        <f t="shared" si="14"/>
        <v>8.3333333333333339</v>
      </c>
      <c r="P131" t="s">
        <v>423</v>
      </c>
      <c r="Q131">
        <v>0.25</v>
      </c>
      <c r="R131" t="s">
        <v>403</v>
      </c>
      <c r="S131">
        <f>IF(R131="FX",Q131,Q131-$Q$15)</f>
        <v>0.2</v>
      </c>
      <c r="T131">
        <f t="shared" si="27"/>
        <v>8.3333333333333339</v>
      </c>
    </row>
    <row r="132" spans="3:20">
      <c r="C132" s="191" t="s">
        <v>48</v>
      </c>
      <c r="D132" s="191">
        <v>2019</v>
      </c>
      <c r="E132" s="191"/>
      <c r="F132" s="193" t="s">
        <v>423</v>
      </c>
      <c r="G132" t="s">
        <v>154</v>
      </c>
      <c r="H132" s="193" t="s">
        <v>285</v>
      </c>
      <c r="I132" s="271">
        <f t="shared" si="12"/>
        <v>0</v>
      </c>
      <c r="J132" s="271">
        <f t="shared" si="13"/>
        <v>0</v>
      </c>
      <c r="L132" s="194">
        <f t="shared" si="14"/>
        <v>0</v>
      </c>
      <c r="P132" t="s">
        <v>423</v>
      </c>
      <c r="Q132">
        <v>0.25</v>
      </c>
      <c r="R132" t="s">
        <v>403</v>
      </c>
      <c r="S132">
        <f>IF(R132="FX",Q132,Q132-$Q$15)</f>
        <v>0.2</v>
      </c>
      <c r="T132">
        <v>0</v>
      </c>
    </row>
    <row r="133" spans="3:20">
      <c r="C133" s="191" t="s">
        <v>48</v>
      </c>
      <c r="D133" s="191">
        <v>2010</v>
      </c>
      <c r="E133" s="191"/>
      <c r="F133" s="273" t="s">
        <v>175</v>
      </c>
      <c r="G133" t="s">
        <v>154</v>
      </c>
      <c r="H133" s="193" t="s">
        <v>285</v>
      </c>
      <c r="I133" s="271">
        <f t="shared" si="12"/>
        <v>10.583333333333336</v>
      </c>
      <c r="J133" s="271">
        <f t="shared" si="13"/>
        <v>10.583333333333336</v>
      </c>
      <c r="L133" s="194">
        <f t="shared" si="14"/>
        <v>10.583333333333336</v>
      </c>
      <c r="P133" t="s">
        <v>175</v>
      </c>
      <c r="Q133">
        <v>0.30399999999999999</v>
      </c>
      <c r="R133" t="s">
        <v>403</v>
      </c>
      <c r="S133">
        <f t="shared" ref="S133" si="32">IF(R133="FX",Q133,Q133-$Q$15)</f>
        <v>0.254</v>
      </c>
      <c r="T133">
        <f t="shared" ref="T133" si="33">($C$8*S133)/0.0036/100</f>
        <v>10.583333333333336</v>
      </c>
    </row>
    <row r="134" spans="3:20">
      <c r="C134" s="191" t="s">
        <v>48</v>
      </c>
      <c r="D134" s="191">
        <v>2018</v>
      </c>
      <c r="E134" s="191"/>
      <c r="F134" s="273" t="s">
        <v>175</v>
      </c>
      <c r="G134" t="s">
        <v>154</v>
      </c>
      <c r="H134" s="193" t="s">
        <v>285</v>
      </c>
      <c r="I134" s="271">
        <f t="shared" si="12"/>
        <v>10.583333333333336</v>
      </c>
      <c r="J134" s="271">
        <f t="shared" si="13"/>
        <v>10.583333333333336</v>
      </c>
      <c r="L134" s="194">
        <f t="shared" si="14"/>
        <v>10.583333333333336</v>
      </c>
      <c r="P134" t="s">
        <v>175</v>
      </c>
      <c r="Q134">
        <v>0.30399999999999999</v>
      </c>
      <c r="R134" t="s">
        <v>403</v>
      </c>
      <c r="S134">
        <f>IF(R134="FX",Q134,Q134-$Q$15)</f>
        <v>0.254</v>
      </c>
      <c r="T134">
        <f t="shared" si="27"/>
        <v>10.583333333333336</v>
      </c>
    </row>
    <row r="135" spans="3:20">
      <c r="C135" s="191" t="s">
        <v>48</v>
      </c>
      <c r="D135" s="191">
        <v>2019</v>
      </c>
      <c r="E135" s="191"/>
      <c r="F135" s="273" t="s">
        <v>175</v>
      </c>
      <c r="G135" t="s">
        <v>154</v>
      </c>
      <c r="H135" s="193" t="s">
        <v>285</v>
      </c>
      <c r="I135" s="271">
        <f t="shared" si="12"/>
        <v>0</v>
      </c>
      <c r="J135" s="271">
        <f t="shared" si="13"/>
        <v>0</v>
      </c>
      <c r="L135" s="194">
        <f t="shared" si="14"/>
        <v>0</v>
      </c>
      <c r="P135" t="s">
        <v>175</v>
      </c>
      <c r="Q135">
        <v>0.30399999999999999</v>
      </c>
      <c r="R135" t="s">
        <v>403</v>
      </c>
      <c r="S135">
        <f>IF(R135="FX",Q135,Q135-$Q$15)</f>
        <v>0.254</v>
      </c>
      <c r="T135">
        <v>0</v>
      </c>
    </row>
    <row r="136" spans="3:20">
      <c r="C136" s="191" t="s">
        <v>48</v>
      </c>
      <c r="D136" s="191">
        <v>2010</v>
      </c>
      <c r="E136" s="191"/>
      <c r="F136" s="193" t="s">
        <v>177</v>
      </c>
      <c r="G136" t="s">
        <v>154</v>
      </c>
      <c r="H136" s="193" t="s">
        <v>285</v>
      </c>
      <c r="I136" s="271">
        <f t="shared" si="12"/>
        <v>13.143750000000001</v>
      </c>
      <c r="J136" s="271">
        <f t="shared" si="13"/>
        <v>13.143750000000001</v>
      </c>
      <c r="L136" s="194">
        <f t="shared" si="14"/>
        <v>13.143750000000001</v>
      </c>
      <c r="P136" t="s">
        <v>177</v>
      </c>
      <c r="Q136">
        <v>0.31545000000000001</v>
      </c>
      <c r="R136" t="s">
        <v>405</v>
      </c>
      <c r="S136">
        <f t="shared" ref="S136" si="34">IF(R136="FX",Q136,Q136-$Q$15)</f>
        <v>0.31545000000000001</v>
      </c>
      <c r="T136">
        <f t="shared" ref="T136" si="35">($C$8*S136)/0.0036/100</f>
        <v>13.143750000000001</v>
      </c>
    </row>
    <row r="137" spans="3:20">
      <c r="C137" s="191" t="s">
        <v>48</v>
      </c>
      <c r="D137" s="191">
        <v>2018</v>
      </c>
      <c r="E137" s="191"/>
      <c r="F137" s="193" t="s">
        <v>177</v>
      </c>
      <c r="G137" t="s">
        <v>154</v>
      </c>
      <c r="H137" s="193" t="s">
        <v>285</v>
      </c>
      <c r="I137" s="271">
        <f t="shared" si="12"/>
        <v>13.143750000000001</v>
      </c>
      <c r="J137" s="271">
        <f t="shared" si="13"/>
        <v>13.143750000000001</v>
      </c>
      <c r="L137" s="194">
        <f t="shared" si="14"/>
        <v>13.143750000000001</v>
      </c>
      <c r="P137" t="s">
        <v>177</v>
      </c>
      <c r="Q137">
        <v>0.31545000000000001</v>
      </c>
      <c r="R137" t="s">
        <v>405</v>
      </c>
      <c r="S137">
        <f>IF(R137="FX",Q137,Q137-$Q$15)</f>
        <v>0.31545000000000001</v>
      </c>
      <c r="T137">
        <f t="shared" si="27"/>
        <v>13.143750000000001</v>
      </c>
    </row>
    <row r="138" spans="3:20">
      <c r="C138" s="191" t="s">
        <v>48</v>
      </c>
      <c r="D138" s="191">
        <v>2019</v>
      </c>
      <c r="E138" s="191"/>
      <c r="F138" s="193" t="s">
        <v>177</v>
      </c>
      <c r="G138" t="s">
        <v>154</v>
      </c>
      <c r="H138" s="193" t="s">
        <v>285</v>
      </c>
      <c r="I138" s="271">
        <f t="shared" si="12"/>
        <v>0</v>
      </c>
      <c r="J138" s="271">
        <f t="shared" si="13"/>
        <v>0</v>
      </c>
      <c r="L138" s="194">
        <f t="shared" si="14"/>
        <v>0</v>
      </c>
      <c r="P138" t="s">
        <v>177</v>
      </c>
      <c r="Q138">
        <v>0.31545000000000001</v>
      </c>
      <c r="R138" t="s">
        <v>405</v>
      </c>
      <c r="S138">
        <f>IF(R138="FX",Q138,Q138-$Q$15)</f>
        <v>0.31545000000000001</v>
      </c>
      <c r="T138">
        <v>0</v>
      </c>
    </row>
    <row r="139" spans="3:20">
      <c r="C139" s="191" t="s">
        <v>48</v>
      </c>
      <c r="D139" s="191">
        <v>2010</v>
      </c>
      <c r="E139" s="191"/>
      <c r="F139" s="193" t="s">
        <v>179</v>
      </c>
      <c r="G139" t="s">
        <v>154</v>
      </c>
      <c r="H139" s="193" t="s">
        <v>285</v>
      </c>
      <c r="I139" s="271">
        <f t="shared" si="12"/>
        <v>6.2787499999999996</v>
      </c>
      <c r="J139" s="271">
        <f t="shared" si="13"/>
        <v>6.2787499999999996</v>
      </c>
      <c r="L139" s="194">
        <f t="shared" si="14"/>
        <v>6.2787499999999996</v>
      </c>
      <c r="P139" t="s">
        <v>179</v>
      </c>
      <c r="Q139">
        <v>0.15068999999999999</v>
      </c>
      <c r="R139" t="s">
        <v>405</v>
      </c>
      <c r="S139">
        <f t="shared" ref="S139" si="36">IF(R139="FX",Q139,Q139-$Q$15)</f>
        <v>0.15068999999999999</v>
      </c>
      <c r="T139">
        <f t="shared" ref="T139" si="37">($C$8*S139)/0.0036/100</f>
        <v>6.2787499999999996</v>
      </c>
    </row>
    <row r="140" spans="3:20">
      <c r="C140" s="191" t="s">
        <v>48</v>
      </c>
      <c r="D140" s="191">
        <v>2018</v>
      </c>
      <c r="E140" s="191"/>
      <c r="F140" s="193" t="s">
        <v>179</v>
      </c>
      <c r="G140" t="s">
        <v>154</v>
      </c>
      <c r="H140" s="193" t="s">
        <v>285</v>
      </c>
      <c r="I140" s="271">
        <f t="shared" si="12"/>
        <v>6.2787499999999996</v>
      </c>
      <c r="J140" s="271">
        <f t="shared" si="13"/>
        <v>6.2787499999999996</v>
      </c>
      <c r="L140" s="194">
        <f t="shared" si="14"/>
        <v>6.2787499999999996</v>
      </c>
      <c r="P140" t="s">
        <v>179</v>
      </c>
      <c r="Q140">
        <v>0.15068999999999999</v>
      </c>
      <c r="R140" t="s">
        <v>405</v>
      </c>
      <c r="S140">
        <f>IF(R140="FX",Q140,Q140-$Q$15)</f>
        <v>0.15068999999999999</v>
      </c>
      <c r="T140">
        <f t="shared" si="27"/>
        <v>6.2787499999999996</v>
      </c>
    </row>
    <row r="141" spans="3:20">
      <c r="C141" s="191" t="s">
        <v>48</v>
      </c>
      <c r="D141" s="191">
        <v>2019</v>
      </c>
      <c r="E141" s="191"/>
      <c r="F141" s="193" t="s">
        <v>179</v>
      </c>
      <c r="G141" t="s">
        <v>154</v>
      </c>
      <c r="H141" s="193" t="s">
        <v>285</v>
      </c>
      <c r="I141" s="271">
        <f t="shared" si="12"/>
        <v>0</v>
      </c>
      <c r="J141" s="271">
        <f t="shared" si="13"/>
        <v>0</v>
      </c>
      <c r="L141" s="194">
        <f t="shared" si="14"/>
        <v>0</v>
      </c>
      <c r="P141" t="s">
        <v>179</v>
      </c>
      <c r="Q141">
        <v>0.15068999999999999</v>
      </c>
      <c r="R141" t="s">
        <v>405</v>
      </c>
      <c r="S141">
        <f>IF(R141="FX",Q141,Q141-$Q$15)</f>
        <v>0.15068999999999999</v>
      </c>
      <c r="T141">
        <v>0</v>
      </c>
    </row>
    <row r="142" spans="3:20">
      <c r="C142" s="191" t="s">
        <v>48</v>
      </c>
      <c r="D142" s="191">
        <v>2010</v>
      </c>
      <c r="E142" s="191"/>
      <c r="F142" s="193" t="s">
        <v>180</v>
      </c>
      <c r="G142" t="s">
        <v>154</v>
      </c>
      <c r="H142" s="193" t="s">
        <v>285</v>
      </c>
      <c r="I142" s="271">
        <f t="shared" si="12"/>
        <v>6.3520833333333337</v>
      </c>
      <c r="J142" s="271">
        <f t="shared" si="13"/>
        <v>6.3520833333333337</v>
      </c>
      <c r="L142" s="194">
        <f t="shared" si="14"/>
        <v>6.3520833333333337</v>
      </c>
      <c r="P142" t="s">
        <v>180</v>
      </c>
      <c r="Q142">
        <v>0.15245</v>
      </c>
      <c r="R142" t="s">
        <v>405</v>
      </c>
      <c r="S142">
        <f t="shared" ref="S142" si="38">IF(R142="FX",Q142,Q142-$Q$15)</f>
        <v>0.15245</v>
      </c>
      <c r="T142">
        <f t="shared" ref="T142" si="39">($C$8*S142)/0.0036/100</f>
        <v>6.3520833333333337</v>
      </c>
    </row>
    <row r="143" spans="3:20">
      <c r="C143" s="191" t="s">
        <v>48</v>
      </c>
      <c r="D143" s="191">
        <v>2018</v>
      </c>
      <c r="E143" s="191"/>
      <c r="F143" s="193" t="s">
        <v>180</v>
      </c>
      <c r="G143" t="s">
        <v>154</v>
      </c>
      <c r="H143" s="193" t="s">
        <v>285</v>
      </c>
      <c r="I143" s="271">
        <f t="shared" si="12"/>
        <v>6.3520833333333337</v>
      </c>
      <c r="J143" s="271">
        <f t="shared" si="13"/>
        <v>6.3520833333333337</v>
      </c>
      <c r="L143" s="194">
        <f t="shared" si="14"/>
        <v>6.3520833333333337</v>
      </c>
      <c r="P143" t="s">
        <v>180</v>
      </c>
      <c r="Q143">
        <v>0.15245</v>
      </c>
      <c r="R143" t="s">
        <v>405</v>
      </c>
      <c r="S143">
        <f>IF(R143="FX",Q143,Q143-$Q$15)</f>
        <v>0.15245</v>
      </c>
      <c r="T143">
        <f t="shared" si="27"/>
        <v>6.3520833333333337</v>
      </c>
    </row>
    <row r="144" spans="3:20">
      <c r="C144" s="191" t="s">
        <v>48</v>
      </c>
      <c r="D144" s="191">
        <v>2019</v>
      </c>
      <c r="E144" s="191"/>
      <c r="F144" s="193" t="s">
        <v>180</v>
      </c>
      <c r="G144" t="s">
        <v>154</v>
      </c>
      <c r="H144" s="193" t="s">
        <v>285</v>
      </c>
      <c r="I144" s="271">
        <f t="shared" si="12"/>
        <v>0</v>
      </c>
      <c r="J144" s="271">
        <f t="shared" si="13"/>
        <v>0</v>
      </c>
      <c r="L144" s="194">
        <f t="shared" si="14"/>
        <v>0</v>
      </c>
      <c r="P144" t="s">
        <v>180</v>
      </c>
      <c r="Q144">
        <v>0.15245</v>
      </c>
      <c r="R144" t="s">
        <v>405</v>
      </c>
      <c r="S144">
        <f>IF(R144="FX",Q144,Q144-$Q$15)</f>
        <v>0.15245</v>
      </c>
      <c r="T144">
        <v>0</v>
      </c>
    </row>
    <row r="145" spans="3:20" ht="13.8">
      <c r="C145" s="191" t="s">
        <v>48</v>
      </c>
      <c r="D145" s="191">
        <v>2010</v>
      </c>
      <c r="E145" s="191"/>
      <c r="F145" s="286" t="s">
        <v>481</v>
      </c>
      <c r="G145" t="s">
        <v>154</v>
      </c>
      <c r="H145" s="193" t="s">
        <v>285</v>
      </c>
      <c r="I145" s="271">
        <f t="shared" ref="I145" si="40">L145</f>
        <v>5.1145833333333339</v>
      </c>
      <c r="J145" s="271">
        <f t="shared" ref="J145" si="41">I145</f>
        <v>5.1145833333333339</v>
      </c>
      <c r="L145" s="194">
        <f t="shared" ref="L145" si="42">T145</f>
        <v>5.1145833333333339</v>
      </c>
      <c r="P145" s="286" t="s">
        <v>481</v>
      </c>
      <c r="Q145">
        <v>0.12275</v>
      </c>
      <c r="R145" t="s">
        <v>405</v>
      </c>
      <c r="S145">
        <f>IF(R145="FX",Q145,Q145-$Q$15)</f>
        <v>0.12275</v>
      </c>
      <c r="T145">
        <f t="shared" ref="T145" si="43">($C$8*S145)/0.0036/100</f>
        <v>5.1145833333333339</v>
      </c>
    </row>
    <row r="146" spans="3:20">
      <c r="C146" s="191" t="s">
        <v>48</v>
      </c>
      <c r="D146" s="191">
        <v>2010</v>
      </c>
      <c r="E146" s="191"/>
      <c r="F146" s="193" t="s">
        <v>478</v>
      </c>
      <c r="G146" t="s">
        <v>154</v>
      </c>
      <c r="H146" s="193" t="s">
        <v>285</v>
      </c>
      <c r="I146" s="271">
        <f t="shared" si="12"/>
        <v>4.4133333333333331</v>
      </c>
      <c r="J146" s="271">
        <f t="shared" si="13"/>
        <v>4.4133333333333331</v>
      </c>
      <c r="L146" s="194">
        <f t="shared" si="14"/>
        <v>4.4133333333333331</v>
      </c>
      <c r="P146" t="s">
        <v>425</v>
      </c>
      <c r="Q146">
        <v>0.10592</v>
      </c>
      <c r="R146" t="s">
        <v>405</v>
      </c>
      <c r="S146">
        <f>IF(R146="FX",Q146,Q146-$Q$15)</f>
        <v>0.10592</v>
      </c>
      <c r="T146">
        <f t="shared" ref="T146:T147" si="44">($C$8*S146)/0.0036/100</f>
        <v>4.4133333333333331</v>
      </c>
    </row>
    <row r="147" spans="3:20">
      <c r="C147" s="191" t="s">
        <v>48</v>
      </c>
      <c r="D147" s="191">
        <v>2018</v>
      </c>
      <c r="E147" s="191"/>
      <c r="F147" s="193" t="s">
        <v>478</v>
      </c>
      <c r="G147" t="s">
        <v>154</v>
      </c>
      <c r="H147" s="193" t="s">
        <v>285</v>
      </c>
      <c r="I147" s="271">
        <f t="shared" si="12"/>
        <v>4.4133333333333331</v>
      </c>
      <c r="J147" s="271">
        <f t="shared" si="13"/>
        <v>4.4133333333333331</v>
      </c>
      <c r="L147" s="194">
        <f t="shared" ref="L147:L154" si="45">T147</f>
        <v>4.4133333333333331</v>
      </c>
      <c r="P147" t="s">
        <v>425</v>
      </c>
      <c r="Q147">
        <v>0.10592</v>
      </c>
      <c r="R147" t="s">
        <v>405</v>
      </c>
      <c r="S147">
        <f t="shared" ref="S147" si="46">IF(R147="FX",Q147,Q147-$Q$15)</f>
        <v>0.10592</v>
      </c>
      <c r="T147">
        <f t="shared" si="44"/>
        <v>4.4133333333333331</v>
      </c>
    </row>
    <row r="148" spans="3:20">
      <c r="C148" s="191" t="s">
        <v>48</v>
      </c>
      <c r="D148" s="191">
        <v>2019</v>
      </c>
      <c r="E148" s="191"/>
      <c r="F148" s="193" t="s">
        <v>478</v>
      </c>
      <c r="G148" t="s">
        <v>154</v>
      </c>
      <c r="H148" s="193" t="s">
        <v>285</v>
      </c>
      <c r="I148" s="271">
        <f t="shared" si="12"/>
        <v>0</v>
      </c>
      <c r="J148" s="271">
        <f t="shared" si="13"/>
        <v>0</v>
      </c>
      <c r="L148" s="194">
        <f t="shared" si="45"/>
        <v>0</v>
      </c>
      <c r="P148" t="s">
        <v>425</v>
      </c>
      <c r="Q148">
        <v>0.10592</v>
      </c>
      <c r="R148" t="s">
        <v>405</v>
      </c>
      <c r="S148">
        <f>IF(R148="FX",Q148,Q148-$Q$15)</f>
        <v>0.10592</v>
      </c>
      <c r="T148">
        <v>0</v>
      </c>
    </row>
    <row r="149" spans="3:20">
      <c r="C149" s="191" t="s">
        <v>48</v>
      </c>
      <c r="D149" s="191">
        <v>2010</v>
      </c>
      <c r="E149" s="191"/>
      <c r="F149" s="193" t="s">
        <v>477</v>
      </c>
      <c r="G149" t="s">
        <v>154</v>
      </c>
      <c r="H149" s="193" t="s">
        <v>285</v>
      </c>
      <c r="I149" s="271">
        <f t="shared" ref="I149:I154" si="47">L149</f>
        <v>7.3033333333333337</v>
      </c>
      <c r="J149" s="271">
        <f t="shared" ref="J149:J154" si="48">I149</f>
        <v>7.3033333333333337</v>
      </c>
      <c r="L149" s="194">
        <f t="shared" si="45"/>
        <v>7.3033333333333337</v>
      </c>
      <c r="P149" t="s">
        <v>182</v>
      </c>
      <c r="Q149">
        <v>0.17527999999999999</v>
      </c>
      <c r="R149" t="s">
        <v>405</v>
      </c>
      <c r="S149">
        <f>IF(R149="FX",Q149,Q149-$Q$15)</f>
        <v>0.17527999999999999</v>
      </c>
      <c r="T149">
        <f t="shared" ref="T149:T150" si="49">($C$8*S149)/0.0036/100</f>
        <v>7.3033333333333337</v>
      </c>
    </row>
    <row r="150" spans="3:20">
      <c r="C150" s="191" t="s">
        <v>48</v>
      </c>
      <c r="D150" s="191">
        <v>2018</v>
      </c>
      <c r="E150" s="191"/>
      <c r="F150" s="193" t="s">
        <v>477</v>
      </c>
      <c r="G150" t="s">
        <v>154</v>
      </c>
      <c r="H150" s="193" t="s">
        <v>285</v>
      </c>
      <c r="I150" s="271">
        <f t="shared" si="47"/>
        <v>7.3033333333333337</v>
      </c>
      <c r="J150" s="271">
        <f t="shared" si="48"/>
        <v>7.3033333333333337</v>
      </c>
      <c r="L150" s="194">
        <f t="shared" si="45"/>
        <v>7.3033333333333337</v>
      </c>
      <c r="P150" t="s">
        <v>182</v>
      </c>
      <c r="Q150">
        <v>0.17527999999999999</v>
      </c>
      <c r="R150" t="s">
        <v>405</v>
      </c>
      <c r="S150">
        <f t="shared" ref="S150" si="50">IF(R150="FX",Q150,Q150-$Q$15)</f>
        <v>0.17527999999999999</v>
      </c>
      <c r="T150">
        <f t="shared" si="49"/>
        <v>7.3033333333333337</v>
      </c>
    </row>
    <row r="151" spans="3:20">
      <c r="C151" s="191" t="s">
        <v>48</v>
      </c>
      <c r="D151" s="191">
        <v>2019</v>
      </c>
      <c r="E151" s="191"/>
      <c r="F151" s="193" t="s">
        <v>477</v>
      </c>
      <c r="G151" t="s">
        <v>154</v>
      </c>
      <c r="H151" s="193" t="s">
        <v>285</v>
      </c>
      <c r="I151" s="271">
        <f t="shared" si="47"/>
        <v>0</v>
      </c>
      <c r="J151" s="271">
        <f t="shared" si="48"/>
        <v>0</v>
      </c>
      <c r="L151" s="194">
        <f t="shared" si="45"/>
        <v>0</v>
      </c>
      <c r="P151" t="s">
        <v>182</v>
      </c>
      <c r="Q151">
        <v>0.17527999999999999</v>
      </c>
      <c r="R151" t="s">
        <v>405</v>
      </c>
      <c r="S151">
        <f>IF(R151="FX",Q151,Q151-$Q$15)</f>
        <v>0.17527999999999999</v>
      </c>
      <c r="T151">
        <v>0</v>
      </c>
    </row>
    <row r="152" spans="3:20">
      <c r="C152" s="191" t="s">
        <v>48</v>
      </c>
      <c r="D152" s="191">
        <v>2010</v>
      </c>
      <c r="E152" s="191"/>
      <c r="F152" s="193" t="s">
        <v>480</v>
      </c>
      <c r="G152" t="s">
        <v>154</v>
      </c>
      <c r="H152" s="193" t="s">
        <v>285</v>
      </c>
      <c r="I152" s="271">
        <f t="shared" si="47"/>
        <v>7.2312500000000002</v>
      </c>
      <c r="J152" s="271">
        <f t="shared" si="48"/>
        <v>7.2312500000000002</v>
      </c>
      <c r="L152" s="194">
        <f t="shared" si="45"/>
        <v>7.2312500000000002</v>
      </c>
      <c r="P152" t="s">
        <v>183</v>
      </c>
      <c r="Q152">
        <v>0.17355000000000001</v>
      </c>
      <c r="R152" t="s">
        <v>405</v>
      </c>
      <c r="S152">
        <f>IF(R152="FX",Q152,Q152-$Q$15)</f>
        <v>0.17355000000000001</v>
      </c>
      <c r="T152">
        <f t="shared" ref="T152:T153" si="51">($C$8*S152)/0.0036/100</f>
        <v>7.2312500000000002</v>
      </c>
    </row>
    <row r="153" spans="3:20">
      <c r="C153" s="191" t="s">
        <v>48</v>
      </c>
      <c r="D153" s="191">
        <v>2018</v>
      </c>
      <c r="E153" s="191"/>
      <c r="F153" s="193" t="s">
        <v>480</v>
      </c>
      <c r="G153" t="s">
        <v>154</v>
      </c>
      <c r="H153" s="193" t="s">
        <v>285</v>
      </c>
      <c r="I153" s="271">
        <f t="shared" si="47"/>
        <v>7.2312500000000002</v>
      </c>
      <c r="J153" s="271">
        <f t="shared" si="48"/>
        <v>7.2312500000000002</v>
      </c>
      <c r="L153" s="194">
        <f t="shared" si="45"/>
        <v>7.2312500000000002</v>
      </c>
      <c r="P153" t="s">
        <v>183</v>
      </c>
      <c r="Q153">
        <v>0.17355000000000001</v>
      </c>
      <c r="R153" t="s">
        <v>405</v>
      </c>
      <c r="S153">
        <f t="shared" ref="S153" si="52">IF(R153="FX",Q153,Q153-$Q$15)</f>
        <v>0.17355000000000001</v>
      </c>
      <c r="T153">
        <f t="shared" si="51"/>
        <v>7.2312500000000002</v>
      </c>
    </row>
    <row r="154" spans="3:20">
      <c r="C154" s="191" t="s">
        <v>48</v>
      </c>
      <c r="D154" s="191">
        <v>2019</v>
      </c>
      <c r="E154" s="191"/>
      <c r="F154" s="193" t="s">
        <v>480</v>
      </c>
      <c r="G154" t="s">
        <v>154</v>
      </c>
      <c r="H154" s="193" t="s">
        <v>285</v>
      </c>
      <c r="I154" s="271">
        <f t="shared" si="47"/>
        <v>0</v>
      </c>
      <c r="J154" s="271">
        <f t="shared" si="48"/>
        <v>0</v>
      </c>
      <c r="L154" s="194">
        <f t="shared" si="45"/>
        <v>0</v>
      </c>
      <c r="P154" t="s">
        <v>183</v>
      </c>
      <c r="Q154">
        <v>0.17355000000000001</v>
      </c>
      <c r="R154" t="s">
        <v>405</v>
      </c>
      <c r="S154">
        <f>IF(R154="FX",Q154,Q154-$Q$15)</f>
        <v>0.17355000000000001</v>
      </c>
      <c r="T154">
        <v>0</v>
      </c>
    </row>
    <row r="155" spans="3:20">
      <c r="D155" s="49"/>
    </row>
    <row r="156" spans="3:20">
      <c r="D156" s="49"/>
    </row>
    <row r="157" spans="3:20">
      <c r="D157" s="49"/>
    </row>
    <row r="158" spans="3:20">
      <c r="C158" s="191" t="s">
        <v>8</v>
      </c>
      <c r="D158" s="191">
        <v>2010</v>
      </c>
      <c r="E158" s="191"/>
      <c r="F158" s="193" t="s">
        <v>402</v>
      </c>
      <c r="G158" t="s">
        <v>154</v>
      </c>
      <c r="H158" s="193" t="s">
        <v>285</v>
      </c>
      <c r="I158" s="271">
        <f t="shared" ref="I158:I205" si="53">L18*-1</f>
        <v>-15</v>
      </c>
      <c r="J158" s="271">
        <f>I158</f>
        <v>-15</v>
      </c>
    </row>
    <row r="159" spans="3:20">
      <c r="C159" s="191" t="s">
        <v>8</v>
      </c>
      <c r="D159" s="191">
        <v>2018</v>
      </c>
      <c r="E159" s="191"/>
      <c r="F159" s="193" t="s">
        <v>402</v>
      </c>
      <c r="G159" t="s">
        <v>154</v>
      </c>
      <c r="H159" s="193" t="s">
        <v>285</v>
      </c>
      <c r="I159" s="271">
        <f t="shared" si="53"/>
        <v>-15</v>
      </c>
      <c r="J159" s="271">
        <f t="shared" ref="J159:J222" si="54">I159</f>
        <v>-15</v>
      </c>
    </row>
    <row r="160" spans="3:20" ht="13.8" thickBot="1">
      <c r="C160" s="191" t="s">
        <v>8</v>
      </c>
      <c r="D160" s="191">
        <v>2019</v>
      </c>
      <c r="E160" s="191"/>
      <c r="F160" s="193" t="s">
        <v>402</v>
      </c>
      <c r="G160" t="s">
        <v>154</v>
      </c>
      <c r="H160" s="193" t="s">
        <v>285</v>
      </c>
      <c r="I160" s="271">
        <f t="shared" si="53"/>
        <v>0</v>
      </c>
      <c r="J160" s="271">
        <f t="shared" si="54"/>
        <v>0</v>
      </c>
      <c r="K160" s="268"/>
    </row>
    <row r="161" spans="3:12">
      <c r="C161" s="191" t="s">
        <v>8</v>
      </c>
      <c r="D161" s="191">
        <v>2010</v>
      </c>
      <c r="E161" s="191"/>
      <c r="F161" s="193" t="s">
        <v>404</v>
      </c>
      <c r="G161" t="s">
        <v>154</v>
      </c>
      <c r="H161" s="193" t="s">
        <v>285</v>
      </c>
      <c r="I161" s="271">
        <f t="shared" si="53"/>
        <v>-12.083333333333332</v>
      </c>
      <c r="J161" s="271">
        <f t="shared" si="54"/>
        <v>-12.083333333333332</v>
      </c>
      <c r="L161" s="194">
        <f t="shared" ref="L161:L208" si="55">L18</f>
        <v>15</v>
      </c>
    </row>
    <row r="162" spans="3:12">
      <c r="C162" s="191" t="s">
        <v>8</v>
      </c>
      <c r="D162" s="191">
        <v>2018</v>
      </c>
      <c r="E162" s="191"/>
      <c r="F162" s="193" t="s">
        <v>404</v>
      </c>
      <c r="G162" t="s">
        <v>154</v>
      </c>
      <c r="H162" s="193" t="s">
        <v>285</v>
      </c>
      <c r="I162" s="271">
        <f t="shared" si="53"/>
        <v>-12.083333333333332</v>
      </c>
      <c r="J162" s="271">
        <f t="shared" si="54"/>
        <v>-12.083333333333332</v>
      </c>
      <c r="L162" s="194">
        <f t="shared" si="55"/>
        <v>15</v>
      </c>
    </row>
    <row r="163" spans="3:12">
      <c r="C163" s="191" t="s">
        <v>8</v>
      </c>
      <c r="D163" s="191">
        <v>2019</v>
      </c>
      <c r="E163" s="191"/>
      <c r="F163" s="193" t="s">
        <v>404</v>
      </c>
      <c r="G163" t="s">
        <v>154</v>
      </c>
      <c r="H163" s="193" t="s">
        <v>285</v>
      </c>
      <c r="I163" s="271">
        <f t="shared" si="53"/>
        <v>0</v>
      </c>
      <c r="J163" s="271">
        <f t="shared" si="54"/>
        <v>0</v>
      </c>
      <c r="L163" s="194">
        <f t="shared" si="55"/>
        <v>0</v>
      </c>
    </row>
    <row r="164" spans="3:12">
      <c r="C164" s="191" t="s">
        <v>8</v>
      </c>
      <c r="D164" s="191">
        <v>2010</v>
      </c>
      <c r="E164" s="191"/>
      <c r="F164" s="193" t="s">
        <v>406</v>
      </c>
      <c r="G164" t="s">
        <v>154</v>
      </c>
      <c r="H164" s="193" t="s">
        <v>285</v>
      </c>
      <c r="I164" s="271">
        <f t="shared" si="53"/>
        <v>-12.083333333333332</v>
      </c>
      <c r="J164" s="271">
        <f t="shared" si="54"/>
        <v>-12.083333333333332</v>
      </c>
      <c r="L164" s="194">
        <f t="shared" si="55"/>
        <v>12.083333333333332</v>
      </c>
    </row>
    <row r="165" spans="3:12">
      <c r="C165" s="191" t="s">
        <v>8</v>
      </c>
      <c r="D165" s="191">
        <v>2018</v>
      </c>
      <c r="E165" s="191"/>
      <c r="F165" s="193" t="s">
        <v>406</v>
      </c>
      <c r="G165" t="s">
        <v>154</v>
      </c>
      <c r="H165" s="193" t="s">
        <v>285</v>
      </c>
      <c r="I165" s="271">
        <f t="shared" si="53"/>
        <v>-12.083333333333332</v>
      </c>
      <c r="J165" s="271">
        <f t="shared" si="54"/>
        <v>-12.083333333333332</v>
      </c>
      <c r="L165" s="194">
        <f t="shared" si="55"/>
        <v>12.083333333333332</v>
      </c>
    </row>
    <row r="166" spans="3:12">
      <c r="C166" s="191" t="s">
        <v>8</v>
      </c>
      <c r="D166" s="191">
        <v>2019</v>
      </c>
      <c r="E166" s="191"/>
      <c r="F166" s="193" t="s">
        <v>406</v>
      </c>
      <c r="G166" t="s">
        <v>154</v>
      </c>
      <c r="H166" s="193" t="s">
        <v>285</v>
      </c>
      <c r="I166" s="271">
        <f t="shared" si="53"/>
        <v>0</v>
      </c>
      <c r="J166" s="271">
        <f t="shared" si="54"/>
        <v>0</v>
      </c>
      <c r="L166" s="194">
        <f t="shared" si="55"/>
        <v>0</v>
      </c>
    </row>
    <row r="167" spans="3:12">
      <c r="C167" s="191" t="s">
        <v>8</v>
      </c>
      <c r="D167" s="191">
        <v>2010</v>
      </c>
      <c r="E167" s="191"/>
      <c r="F167" s="193" t="s">
        <v>407</v>
      </c>
      <c r="G167" t="s">
        <v>154</v>
      </c>
      <c r="H167" s="193" t="s">
        <v>285</v>
      </c>
      <c r="I167" s="271">
        <f t="shared" si="53"/>
        <v>-12.291666666666668</v>
      </c>
      <c r="J167" s="271">
        <f t="shared" si="54"/>
        <v>-12.291666666666668</v>
      </c>
      <c r="L167" s="194">
        <f t="shared" si="55"/>
        <v>12.083333333333332</v>
      </c>
    </row>
    <row r="168" spans="3:12">
      <c r="C168" s="191" t="s">
        <v>8</v>
      </c>
      <c r="D168" s="191">
        <v>2018</v>
      </c>
      <c r="E168" s="191"/>
      <c r="F168" s="193" t="s">
        <v>407</v>
      </c>
      <c r="G168" t="s">
        <v>154</v>
      </c>
      <c r="H168" s="193" t="s">
        <v>285</v>
      </c>
      <c r="I168" s="271">
        <f t="shared" si="53"/>
        <v>-12.291666666666668</v>
      </c>
      <c r="J168" s="271">
        <f t="shared" si="54"/>
        <v>-12.291666666666668</v>
      </c>
      <c r="L168" s="194">
        <f t="shared" si="55"/>
        <v>12.083333333333332</v>
      </c>
    </row>
    <row r="169" spans="3:12">
      <c r="C169" s="191" t="s">
        <v>8</v>
      </c>
      <c r="D169" s="191">
        <v>2019</v>
      </c>
      <c r="E169" s="191"/>
      <c r="F169" s="193" t="s">
        <v>407</v>
      </c>
      <c r="G169" t="s">
        <v>154</v>
      </c>
      <c r="H169" s="193" t="s">
        <v>285</v>
      </c>
      <c r="I169" s="271">
        <f t="shared" si="53"/>
        <v>0</v>
      </c>
      <c r="J169" s="271">
        <f t="shared" si="54"/>
        <v>0</v>
      </c>
      <c r="L169" s="194">
        <f t="shared" si="55"/>
        <v>0</v>
      </c>
    </row>
    <row r="170" spans="3:12">
      <c r="C170" s="191" t="s">
        <v>8</v>
      </c>
      <c r="D170" s="191">
        <v>2010</v>
      </c>
      <c r="E170" s="191"/>
      <c r="F170" s="193" t="s">
        <v>407</v>
      </c>
      <c r="G170" t="s">
        <v>154</v>
      </c>
      <c r="H170" s="193" t="s">
        <v>285</v>
      </c>
      <c r="I170" s="271">
        <f t="shared" si="53"/>
        <v>-12.291666666666668</v>
      </c>
      <c r="J170" s="271">
        <f t="shared" si="54"/>
        <v>-12.291666666666668</v>
      </c>
      <c r="L170" s="194">
        <f t="shared" si="55"/>
        <v>12.291666666666668</v>
      </c>
    </row>
    <row r="171" spans="3:12">
      <c r="C171" s="191" t="s">
        <v>8</v>
      </c>
      <c r="D171" s="191">
        <v>2018</v>
      </c>
      <c r="E171" s="191"/>
      <c r="F171" s="193" t="s">
        <v>407</v>
      </c>
      <c r="G171" t="s">
        <v>154</v>
      </c>
      <c r="H171" s="193" t="s">
        <v>285</v>
      </c>
      <c r="I171" s="271">
        <f t="shared" si="53"/>
        <v>-12.291666666666668</v>
      </c>
      <c r="J171" s="271">
        <f t="shared" si="54"/>
        <v>-12.291666666666668</v>
      </c>
      <c r="L171" s="194">
        <f t="shared" si="55"/>
        <v>12.291666666666668</v>
      </c>
    </row>
    <row r="172" spans="3:12">
      <c r="C172" s="191" t="s">
        <v>8</v>
      </c>
      <c r="D172" s="191">
        <v>2019</v>
      </c>
      <c r="E172" s="191"/>
      <c r="F172" s="193" t="s">
        <v>407</v>
      </c>
      <c r="G172" t="s">
        <v>154</v>
      </c>
      <c r="H172" s="193" t="s">
        <v>285</v>
      </c>
      <c r="I172" s="271">
        <f t="shared" si="53"/>
        <v>0</v>
      </c>
      <c r="J172" s="271">
        <f t="shared" si="54"/>
        <v>0</v>
      </c>
      <c r="L172" s="194">
        <f t="shared" si="55"/>
        <v>0</v>
      </c>
    </row>
    <row r="173" spans="3:12">
      <c r="C173" s="191" t="s">
        <v>8</v>
      </c>
      <c r="D173" s="191">
        <v>2010</v>
      </c>
      <c r="E173" s="191"/>
      <c r="F173" s="193" t="s">
        <v>408</v>
      </c>
      <c r="G173" t="s">
        <v>154</v>
      </c>
      <c r="H173" s="193" t="s">
        <v>285</v>
      </c>
      <c r="I173" s="271">
        <f t="shared" si="53"/>
        <v>-12.083333333333332</v>
      </c>
      <c r="J173" s="271">
        <f t="shared" si="54"/>
        <v>-12.083333333333332</v>
      </c>
      <c r="L173" s="194">
        <f t="shared" si="55"/>
        <v>12.291666666666668</v>
      </c>
    </row>
    <row r="174" spans="3:12">
      <c r="C174" s="191" t="s">
        <v>8</v>
      </c>
      <c r="D174" s="191">
        <v>2018</v>
      </c>
      <c r="E174" s="191"/>
      <c r="F174" s="193" t="s">
        <v>408</v>
      </c>
      <c r="G174" t="s">
        <v>154</v>
      </c>
      <c r="H174" s="193" t="s">
        <v>285</v>
      </c>
      <c r="I174" s="271">
        <f t="shared" si="53"/>
        <v>-12.083333333333332</v>
      </c>
      <c r="J174" s="271">
        <f t="shared" si="54"/>
        <v>-12.083333333333332</v>
      </c>
      <c r="L174" s="194">
        <f t="shared" si="55"/>
        <v>12.291666666666668</v>
      </c>
    </row>
    <row r="175" spans="3:12">
      <c r="C175" s="191" t="s">
        <v>8</v>
      </c>
      <c r="D175" s="191">
        <v>2019</v>
      </c>
      <c r="E175" s="191"/>
      <c r="F175" s="193" t="s">
        <v>408</v>
      </c>
      <c r="G175" t="s">
        <v>154</v>
      </c>
      <c r="H175" s="193" t="s">
        <v>285</v>
      </c>
      <c r="I175" s="271">
        <f t="shared" si="53"/>
        <v>0</v>
      </c>
      <c r="J175" s="271">
        <f t="shared" si="54"/>
        <v>0</v>
      </c>
      <c r="L175" s="194">
        <f t="shared" si="55"/>
        <v>0</v>
      </c>
    </row>
    <row r="176" spans="3:12">
      <c r="C176" s="191" t="s">
        <v>8</v>
      </c>
      <c r="D176" s="191">
        <v>2010</v>
      </c>
      <c r="E176" s="191"/>
      <c r="F176" s="193" t="s">
        <v>409</v>
      </c>
      <c r="G176" t="s">
        <v>154</v>
      </c>
      <c r="H176" s="193" t="s">
        <v>285</v>
      </c>
      <c r="I176" s="271">
        <f t="shared" si="53"/>
        <v>-10.416666666666668</v>
      </c>
      <c r="J176" s="271">
        <f t="shared" si="54"/>
        <v>-10.416666666666668</v>
      </c>
      <c r="L176" s="194">
        <f t="shared" si="55"/>
        <v>12.083333333333332</v>
      </c>
    </row>
    <row r="177" spans="3:12">
      <c r="C177" s="191" t="s">
        <v>8</v>
      </c>
      <c r="D177" s="191">
        <v>2018</v>
      </c>
      <c r="E177" s="191"/>
      <c r="F177" s="193" t="s">
        <v>409</v>
      </c>
      <c r="G177" t="s">
        <v>154</v>
      </c>
      <c r="H177" s="193" t="s">
        <v>285</v>
      </c>
      <c r="I177" s="271">
        <f t="shared" si="53"/>
        <v>-10.416666666666668</v>
      </c>
      <c r="J177" s="271">
        <f t="shared" si="54"/>
        <v>-10.416666666666668</v>
      </c>
      <c r="L177" s="194">
        <f t="shared" si="55"/>
        <v>12.083333333333332</v>
      </c>
    </row>
    <row r="178" spans="3:12">
      <c r="C178" s="191" t="s">
        <v>8</v>
      </c>
      <c r="D178" s="191">
        <v>2019</v>
      </c>
      <c r="E178" s="191"/>
      <c r="F178" s="193" t="s">
        <v>409</v>
      </c>
      <c r="G178" t="s">
        <v>154</v>
      </c>
      <c r="H178" s="193" t="s">
        <v>285</v>
      </c>
      <c r="I178" s="271">
        <f t="shared" si="53"/>
        <v>0</v>
      </c>
      <c r="J178" s="271">
        <f t="shared" si="54"/>
        <v>0</v>
      </c>
      <c r="L178" s="194">
        <f t="shared" si="55"/>
        <v>0</v>
      </c>
    </row>
    <row r="179" spans="3:12">
      <c r="C179" s="191" t="s">
        <v>8</v>
      </c>
      <c r="D179" s="191">
        <v>2010</v>
      </c>
      <c r="E179" s="191"/>
      <c r="F179" s="193" t="s">
        <v>410</v>
      </c>
      <c r="G179" t="s">
        <v>154</v>
      </c>
      <c r="H179" s="193" t="s">
        <v>285</v>
      </c>
      <c r="I179" s="271">
        <f t="shared" si="53"/>
        <v>-12.083333333333332</v>
      </c>
      <c r="J179" s="271">
        <f t="shared" si="54"/>
        <v>-12.083333333333332</v>
      </c>
      <c r="L179" s="194">
        <f t="shared" si="55"/>
        <v>10.416666666666668</v>
      </c>
    </row>
    <row r="180" spans="3:12">
      <c r="C180" s="191" t="s">
        <v>8</v>
      </c>
      <c r="D180" s="191">
        <v>2018</v>
      </c>
      <c r="E180" s="191"/>
      <c r="F180" s="193" t="s">
        <v>410</v>
      </c>
      <c r="G180" t="s">
        <v>154</v>
      </c>
      <c r="H180" s="193" t="s">
        <v>285</v>
      </c>
      <c r="I180" s="271">
        <f t="shared" si="53"/>
        <v>-12.083333333333332</v>
      </c>
      <c r="J180" s="271">
        <f t="shared" si="54"/>
        <v>-12.083333333333332</v>
      </c>
      <c r="L180" s="194">
        <f t="shared" si="55"/>
        <v>10.416666666666668</v>
      </c>
    </row>
    <row r="181" spans="3:12">
      <c r="C181" s="191" t="s">
        <v>8</v>
      </c>
      <c r="D181" s="191">
        <v>2019</v>
      </c>
      <c r="E181" s="191"/>
      <c r="F181" s="193" t="s">
        <v>410</v>
      </c>
      <c r="G181" t="s">
        <v>154</v>
      </c>
      <c r="H181" s="193" t="s">
        <v>285</v>
      </c>
      <c r="I181" s="271">
        <f t="shared" si="53"/>
        <v>0</v>
      </c>
      <c r="J181" s="271">
        <f t="shared" si="54"/>
        <v>0</v>
      </c>
      <c r="L181" s="194">
        <f t="shared" si="55"/>
        <v>0</v>
      </c>
    </row>
    <row r="182" spans="3:12">
      <c r="C182" s="191" t="s">
        <v>8</v>
      </c>
      <c r="D182" s="191">
        <v>2010</v>
      </c>
      <c r="E182" s="191"/>
      <c r="F182" s="193" t="s">
        <v>411</v>
      </c>
      <c r="G182" t="s">
        <v>154</v>
      </c>
      <c r="H182" s="193" t="s">
        <v>285</v>
      </c>
      <c r="I182" s="271">
        <f t="shared" si="53"/>
        <v>-12.291666666666668</v>
      </c>
      <c r="J182" s="271">
        <f t="shared" si="54"/>
        <v>-12.291666666666668</v>
      </c>
      <c r="L182" s="194">
        <f t="shared" si="55"/>
        <v>12.083333333333332</v>
      </c>
    </row>
    <row r="183" spans="3:12">
      <c r="C183" s="191" t="s">
        <v>8</v>
      </c>
      <c r="D183" s="191">
        <v>2018</v>
      </c>
      <c r="E183" s="191"/>
      <c r="F183" s="193" t="s">
        <v>411</v>
      </c>
      <c r="G183" t="s">
        <v>154</v>
      </c>
      <c r="H183" s="193" t="s">
        <v>285</v>
      </c>
      <c r="I183" s="271">
        <f t="shared" si="53"/>
        <v>-12.291666666666668</v>
      </c>
      <c r="J183" s="271">
        <f t="shared" si="54"/>
        <v>-12.291666666666668</v>
      </c>
      <c r="L183" s="194">
        <f t="shared" si="55"/>
        <v>12.083333333333332</v>
      </c>
    </row>
    <row r="184" spans="3:12">
      <c r="C184" s="191" t="s">
        <v>8</v>
      </c>
      <c r="D184" s="191">
        <v>2019</v>
      </c>
      <c r="E184" s="191"/>
      <c r="F184" s="193" t="s">
        <v>411</v>
      </c>
      <c r="G184" t="s">
        <v>154</v>
      </c>
      <c r="H184" s="193" t="s">
        <v>285</v>
      </c>
      <c r="I184" s="271">
        <f t="shared" si="53"/>
        <v>0</v>
      </c>
      <c r="J184" s="271">
        <f t="shared" si="54"/>
        <v>0</v>
      </c>
      <c r="L184" s="194">
        <f t="shared" si="55"/>
        <v>0</v>
      </c>
    </row>
    <row r="185" spans="3:12">
      <c r="C185" s="191" t="s">
        <v>8</v>
      </c>
      <c r="D185" s="191">
        <v>2010</v>
      </c>
      <c r="E185" s="191"/>
      <c r="F185" s="193" t="s">
        <v>163</v>
      </c>
      <c r="G185" t="s">
        <v>154</v>
      </c>
      <c r="H185" s="193" t="s">
        <v>285</v>
      </c>
      <c r="I185" s="271">
        <f t="shared" si="53"/>
        <v>-10.044166666666666</v>
      </c>
      <c r="J185" s="271">
        <f t="shared" si="54"/>
        <v>-10.044166666666666</v>
      </c>
      <c r="L185" s="194">
        <f t="shared" si="55"/>
        <v>12.291666666666668</v>
      </c>
    </row>
    <row r="186" spans="3:12">
      <c r="C186" s="191" t="s">
        <v>8</v>
      </c>
      <c r="D186" s="191">
        <v>2018</v>
      </c>
      <c r="E186" s="191"/>
      <c r="F186" s="193" t="s">
        <v>163</v>
      </c>
      <c r="G186" t="s">
        <v>154</v>
      </c>
      <c r="H186" s="193" t="s">
        <v>285</v>
      </c>
      <c r="I186" s="271">
        <f t="shared" si="53"/>
        <v>-10.044166666666666</v>
      </c>
      <c r="J186" s="271">
        <f t="shared" si="54"/>
        <v>-10.044166666666666</v>
      </c>
      <c r="L186" s="194">
        <f t="shared" si="55"/>
        <v>12.291666666666668</v>
      </c>
    </row>
    <row r="187" spans="3:12">
      <c r="C187" s="191" t="s">
        <v>8</v>
      </c>
      <c r="D187" s="191">
        <v>2019</v>
      </c>
      <c r="E187" s="191"/>
      <c r="F187" s="193" t="s">
        <v>163</v>
      </c>
      <c r="G187" t="s">
        <v>154</v>
      </c>
      <c r="H187" s="193" t="s">
        <v>285</v>
      </c>
      <c r="I187" s="271">
        <f t="shared" si="53"/>
        <v>0</v>
      </c>
      <c r="J187" s="271">
        <f t="shared" si="54"/>
        <v>0</v>
      </c>
      <c r="L187" s="194">
        <f t="shared" si="55"/>
        <v>0</v>
      </c>
    </row>
    <row r="188" spans="3:12">
      <c r="C188" s="191" t="s">
        <v>8</v>
      </c>
      <c r="D188" s="191">
        <v>2010</v>
      </c>
      <c r="E188" s="191"/>
      <c r="F188" s="193" t="s">
        <v>164</v>
      </c>
      <c r="G188" t="s">
        <v>154</v>
      </c>
      <c r="H188" s="193" t="s">
        <v>285</v>
      </c>
      <c r="I188" s="271">
        <f t="shared" si="53"/>
        <v>-4.8104166666666668</v>
      </c>
      <c r="J188" s="271">
        <f t="shared" si="54"/>
        <v>-4.8104166666666668</v>
      </c>
      <c r="L188" s="194">
        <f t="shared" si="55"/>
        <v>10.044166666666666</v>
      </c>
    </row>
    <row r="189" spans="3:12">
      <c r="C189" s="191" t="s">
        <v>8</v>
      </c>
      <c r="D189" s="191">
        <v>2018</v>
      </c>
      <c r="E189" s="191"/>
      <c r="F189" s="193" t="s">
        <v>164</v>
      </c>
      <c r="G189" t="s">
        <v>154</v>
      </c>
      <c r="H189" s="193" t="s">
        <v>285</v>
      </c>
      <c r="I189" s="271">
        <f t="shared" si="53"/>
        <v>-4.8104166666666668</v>
      </c>
      <c r="J189" s="271">
        <f t="shared" si="54"/>
        <v>-4.8104166666666668</v>
      </c>
      <c r="L189" s="194">
        <f t="shared" si="55"/>
        <v>10.044166666666666</v>
      </c>
    </row>
    <row r="190" spans="3:12">
      <c r="C190" s="191" t="s">
        <v>8</v>
      </c>
      <c r="D190" s="191">
        <v>2019</v>
      </c>
      <c r="E190" s="191"/>
      <c r="F190" s="193" t="s">
        <v>164</v>
      </c>
      <c r="G190" t="s">
        <v>154</v>
      </c>
      <c r="H190" s="193" t="s">
        <v>285</v>
      </c>
      <c r="I190" s="271">
        <f t="shared" si="53"/>
        <v>0</v>
      </c>
      <c r="J190" s="271">
        <f t="shared" si="54"/>
        <v>0</v>
      </c>
      <c r="L190" s="194">
        <f t="shared" si="55"/>
        <v>0</v>
      </c>
    </row>
    <row r="191" spans="3:12">
      <c r="C191" s="191" t="s">
        <v>8</v>
      </c>
      <c r="D191" s="191">
        <v>2010</v>
      </c>
      <c r="E191" s="191"/>
      <c r="F191" s="193" t="s">
        <v>412</v>
      </c>
      <c r="G191" t="s">
        <v>154</v>
      </c>
      <c r="H191" s="193" t="s">
        <v>285</v>
      </c>
      <c r="I191" s="271">
        <f t="shared" si="53"/>
        <v>-7.7083333333333339</v>
      </c>
      <c r="J191" s="271">
        <f t="shared" si="54"/>
        <v>-7.7083333333333339</v>
      </c>
      <c r="L191" s="194">
        <f t="shared" si="55"/>
        <v>4.8104166666666668</v>
      </c>
    </row>
    <row r="192" spans="3:12">
      <c r="C192" s="191" t="s">
        <v>8</v>
      </c>
      <c r="D192" s="191">
        <v>2018</v>
      </c>
      <c r="E192" s="191"/>
      <c r="F192" s="193" t="s">
        <v>412</v>
      </c>
      <c r="G192" t="s">
        <v>154</v>
      </c>
      <c r="H192" s="193" t="s">
        <v>285</v>
      </c>
      <c r="I192" s="271">
        <f t="shared" si="53"/>
        <v>-7.7083333333333339</v>
      </c>
      <c r="J192" s="271">
        <f t="shared" si="54"/>
        <v>-7.7083333333333339</v>
      </c>
      <c r="L192" s="194">
        <f t="shared" si="55"/>
        <v>4.8104166666666668</v>
      </c>
    </row>
    <row r="193" spans="3:12">
      <c r="C193" s="191" t="s">
        <v>8</v>
      </c>
      <c r="D193" s="191">
        <v>2019</v>
      </c>
      <c r="E193" s="191"/>
      <c r="F193" s="193" t="s">
        <v>412</v>
      </c>
      <c r="G193" t="s">
        <v>154</v>
      </c>
      <c r="H193" s="193" t="s">
        <v>285</v>
      </c>
      <c r="I193" s="271">
        <f t="shared" si="53"/>
        <v>0</v>
      </c>
      <c r="J193" s="271">
        <f t="shared" si="54"/>
        <v>0</v>
      </c>
      <c r="L193" s="194">
        <f t="shared" si="55"/>
        <v>0</v>
      </c>
    </row>
    <row r="194" spans="3:12">
      <c r="C194" s="191" t="s">
        <v>8</v>
      </c>
      <c r="D194" s="191">
        <v>2010</v>
      </c>
      <c r="E194" s="191"/>
      <c r="F194" s="193" t="s">
        <v>413</v>
      </c>
      <c r="G194" t="s">
        <v>154</v>
      </c>
      <c r="H194" s="193" t="s">
        <v>285</v>
      </c>
      <c r="I194" s="271">
        <f t="shared" si="53"/>
        <v>-7.2195833333333335</v>
      </c>
      <c r="J194" s="271">
        <f t="shared" si="54"/>
        <v>-7.2195833333333335</v>
      </c>
      <c r="L194" s="194">
        <f t="shared" si="55"/>
        <v>7.7083333333333339</v>
      </c>
    </row>
    <row r="195" spans="3:12">
      <c r="C195" s="191" t="s">
        <v>8</v>
      </c>
      <c r="D195" s="191">
        <v>2018</v>
      </c>
      <c r="E195" s="191"/>
      <c r="F195" s="193" t="s">
        <v>413</v>
      </c>
      <c r="G195" t="s">
        <v>154</v>
      </c>
      <c r="H195" s="193" t="s">
        <v>285</v>
      </c>
      <c r="I195" s="271">
        <f t="shared" si="53"/>
        <v>-7.2195833333333335</v>
      </c>
      <c r="J195" s="271">
        <f t="shared" si="54"/>
        <v>-7.2195833333333335</v>
      </c>
      <c r="L195" s="194">
        <f t="shared" si="55"/>
        <v>7.7083333333333339</v>
      </c>
    </row>
    <row r="196" spans="3:12">
      <c r="C196" s="191" t="s">
        <v>8</v>
      </c>
      <c r="D196" s="191">
        <v>2019</v>
      </c>
      <c r="E196" s="191"/>
      <c r="F196" s="193" t="s">
        <v>413</v>
      </c>
      <c r="G196" t="s">
        <v>154</v>
      </c>
      <c r="H196" s="193" t="s">
        <v>285</v>
      </c>
      <c r="I196" s="271">
        <f t="shared" si="53"/>
        <v>0</v>
      </c>
      <c r="J196" s="271">
        <f t="shared" si="54"/>
        <v>0</v>
      </c>
      <c r="L196" s="194">
        <f t="shared" si="55"/>
        <v>0</v>
      </c>
    </row>
    <row r="197" spans="3:12">
      <c r="C197" s="191" t="s">
        <v>8</v>
      </c>
      <c r="D197" s="191">
        <v>2010</v>
      </c>
      <c r="E197" s="191"/>
      <c r="F197" s="193" t="s">
        <v>414</v>
      </c>
      <c r="G197" t="s">
        <v>154</v>
      </c>
      <c r="H197" s="193" t="s">
        <v>285</v>
      </c>
      <c r="I197" s="271">
        <f t="shared" si="53"/>
        <v>-9.3179166666666671</v>
      </c>
      <c r="J197" s="271">
        <f t="shared" si="54"/>
        <v>-9.3179166666666671</v>
      </c>
      <c r="L197" s="194">
        <f t="shared" si="55"/>
        <v>7.2195833333333335</v>
      </c>
    </row>
    <row r="198" spans="3:12">
      <c r="C198" s="191" t="s">
        <v>8</v>
      </c>
      <c r="D198" s="191">
        <v>2018</v>
      </c>
      <c r="E198" s="191"/>
      <c r="F198" s="193" t="s">
        <v>414</v>
      </c>
      <c r="G198" t="s">
        <v>154</v>
      </c>
      <c r="H198" s="193" t="s">
        <v>285</v>
      </c>
      <c r="I198" s="271">
        <f t="shared" si="53"/>
        <v>-9.3179166666666671</v>
      </c>
      <c r="J198" s="271">
        <f t="shared" si="54"/>
        <v>-9.3179166666666671</v>
      </c>
      <c r="L198" s="194">
        <f t="shared" si="55"/>
        <v>7.2195833333333335</v>
      </c>
    </row>
    <row r="199" spans="3:12">
      <c r="C199" s="191" t="s">
        <v>8</v>
      </c>
      <c r="D199" s="191">
        <v>2019</v>
      </c>
      <c r="E199" s="191"/>
      <c r="F199" s="193" t="s">
        <v>414</v>
      </c>
      <c r="G199" t="s">
        <v>154</v>
      </c>
      <c r="H199" s="193" t="s">
        <v>285</v>
      </c>
      <c r="I199" s="271">
        <f t="shared" si="53"/>
        <v>0</v>
      </c>
      <c r="J199" s="271">
        <f t="shared" si="54"/>
        <v>0</v>
      </c>
      <c r="L199" s="194">
        <f t="shared" si="55"/>
        <v>0</v>
      </c>
    </row>
    <row r="200" spans="3:12">
      <c r="C200" s="191" t="s">
        <v>8</v>
      </c>
      <c r="D200" s="191">
        <v>2010</v>
      </c>
      <c r="E200" s="191"/>
      <c r="F200" s="193" t="s">
        <v>166</v>
      </c>
      <c r="G200" t="s">
        <v>154</v>
      </c>
      <c r="H200" s="193" t="s">
        <v>285</v>
      </c>
      <c r="I200" s="271">
        <f t="shared" si="53"/>
        <v>-5.915</v>
      </c>
      <c r="J200" s="271">
        <f t="shared" si="54"/>
        <v>-5.915</v>
      </c>
      <c r="L200" s="194">
        <f t="shared" si="55"/>
        <v>9.3179166666666671</v>
      </c>
    </row>
    <row r="201" spans="3:12">
      <c r="C201" s="191" t="s">
        <v>8</v>
      </c>
      <c r="D201" s="191">
        <v>2018</v>
      </c>
      <c r="E201" s="191"/>
      <c r="F201" s="193" t="s">
        <v>166</v>
      </c>
      <c r="G201" t="s">
        <v>154</v>
      </c>
      <c r="H201" s="193" t="s">
        <v>285</v>
      </c>
      <c r="I201" s="271">
        <f t="shared" si="53"/>
        <v>-5.915</v>
      </c>
      <c r="J201" s="271">
        <f t="shared" si="54"/>
        <v>-5.915</v>
      </c>
      <c r="L201" s="194">
        <f t="shared" si="55"/>
        <v>9.3179166666666671</v>
      </c>
    </row>
    <row r="202" spans="3:12">
      <c r="C202" s="191" t="s">
        <v>8</v>
      </c>
      <c r="D202" s="191">
        <v>2019</v>
      </c>
      <c r="E202" s="191"/>
      <c r="F202" s="193" t="s">
        <v>166</v>
      </c>
      <c r="G202" t="s">
        <v>154</v>
      </c>
      <c r="H202" s="193" t="s">
        <v>285</v>
      </c>
      <c r="I202" s="271">
        <f t="shared" si="53"/>
        <v>0</v>
      </c>
      <c r="J202" s="271">
        <f t="shared" si="54"/>
        <v>0</v>
      </c>
      <c r="L202" s="194">
        <f t="shared" si="55"/>
        <v>0</v>
      </c>
    </row>
    <row r="203" spans="3:12">
      <c r="C203" s="191" t="s">
        <v>8</v>
      </c>
      <c r="D203" s="191">
        <v>2010</v>
      </c>
      <c r="E203" s="191"/>
      <c r="F203" s="193" t="s">
        <v>167</v>
      </c>
      <c r="G203" t="s">
        <v>154</v>
      </c>
      <c r="H203" s="193" t="s">
        <v>285</v>
      </c>
      <c r="I203" s="271">
        <f t="shared" si="53"/>
        <v>-9.6925000000000008</v>
      </c>
      <c r="J203" s="271">
        <f t="shared" si="54"/>
        <v>-9.6925000000000008</v>
      </c>
      <c r="L203" s="194">
        <f t="shared" si="55"/>
        <v>5.915</v>
      </c>
    </row>
    <row r="204" spans="3:12">
      <c r="C204" s="191" t="s">
        <v>8</v>
      </c>
      <c r="D204" s="191">
        <v>2018</v>
      </c>
      <c r="E204" s="191"/>
      <c r="F204" s="193" t="s">
        <v>167</v>
      </c>
      <c r="G204" t="s">
        <v>154</v>
      </c>
      <c r="H204" s="193" t="s">
        <v>285</v>
      </c>
      <c r="I204" s="271">
        <f t="shared" si="53"/>
        <v>-9.6925000000000008</v>
      </c>
      <c r="J204" s="271">
        <f t="shared" si="54"/>
        <v>-9.6925000000000008</v>
      </c>
      <c r="L204" s="194">
        <f t="shared" si="55"/>
        <v>5.915</v>
      </c>
    </row>
    <row r="205" spans="3:12">
      <c r="C205" s="191" t="s">
        <v>8</v>
      </c>
      <c r="D205" s="191">
        <v>2019</v>
      </c>
      <c r="E205" s="191"/>
      <c r="F205" s="193" t="s">
        <v>167</v>
      </c>
      <c r="G205" t="s">
        <v>154</v>
      </c>
      <c r="H205" s="193" t="s">
        <v>285</v>
      </c>
      <c r="I205" s="271">
        <f t="shared" si="53"/>
        <v>0</v>
      </c>
      <c r="J205" s="271">
        <f t="shared" si="54"/>
        <v>0</v>
      </c>
      <c r="L205" s="194">
        <f t="shared" si="55"/>
        <v>0</v>
      </c>
    </row>
    <row r="206" spans="3:12">
      <c r="C206" s="191" t="s">
        <v>8</v>
      </c>
      <c r="D206" s="191">
        <v>2010</v>
      </c>
      <c r="E206" s="191"/>
      <c r="F206" s="193" t="s">
        <v>415</v>
      </c>
      <c r="G206" t="s">
        <v>154</v>
      </c>
      <c r="H206" s="193" t="s">
        <v>285</v>
      </c>
      <c r="I206" s="271">
        <f t="shared" ref="I206:I237" si="56">L67*-1</f>
        <v>-3.9658333333333333</v>
      </c>
      <c r="J206" s="271">
        <f t="shared" si="54"/>
        <v>-3.9658333333333333</v>
      </c>
      <c r="L206" s="194">
        <f t="shared" si="55"/>
        <v>9.6925000000000008</v>
      </c>
    </row>
    <row r="207" spans="3:12">
      <c r="C207" s="191" t="s">
        <v>8</v>
      </c>
      <c r="D207" s="191">
        <v>2018</v>
      </c>
      <c r="E207" s="191"/>
      <c r="F207" s="193" t="s">
        <v>415</v>
      </c>
      <c r="G207" t="s">
        <v>154</v>
      </c>
      <c r="H207" s="193" t="s">
        <v>285</v>
      </c>
      <c r="I207" s="271">
        <f t="shared" si="56"/>
        <v>-3.9658333333333333</v>
      </c>
      <c r="J207" s="271">
        <f t="shared" si="54"/>
        <v>-3.9658333333333333</v>
      </c>
      <c r="L207" s="194">
        <f t="shared" si="55"/>
        <v>9.6925000000000008</v>
      </c>
    </row>
    <row r="208" spans="3:12">
      <c r="C208" s="191" t="s">
        <v>8</v>
      </c>
      <c r="D208" s="191">
        <v>2019</v>
      </c>
      <c r="E208" s="191"/>
      <c r="F208" s="193" t="s">
        <v>415</v>
      </c>
      <c r="G208" t="s">
        <v>154</v>
      </c>
      <c r="H208" s="193" t="s">
        <v>285</v>
      </c>
      <c r="I208" s="271">
        <f t="shared" si="56"/>
        <v>0</v>
      </c>
      <c r="J208" s="271">
        <f t="shared" si="54"/>
        <v>0</v>
      </c>
      <c r="L208" s="194">
        <f t="shared" si="55"/>
        <v>0</v>
      </c>
    </row>
    <row r="209" spans="3:12">
      <c r="C209" s="191" t="s">
        <v>8</v>
      </c>
      <c r="D209" s="191">
        <v>2010</v>
      </c>
      <c r="E209" s="191"/>
      <c r="F209" s="193" t="s">
        <v>416</v>
      </c>
      <c r="G209" t="s">
        <v>154</v>
      </c>
      <c r="H209" s="193" t="s">
        <v>285</v>
      </c>
      <c r="I209" s="271">
        <f t="shared" si="56"/>
        <v>-8.75</v>
      </c>
      <c r="J209" s="271">
        <f t="shared" si="54"/>
        <v>-8.75</v>
      </c>
      <c r="L209" s="194">
        <f t="shared" ref="L209:L240" si="57">L67</f>
        <v>3.9658333333333333</v>
      </c>
    </row>
    <row r="210" spans="3:12">
      <c r="C210" s="191" t="s">
        <v>8</v>
      </c>
      <c r="D210" s="191">
        <v>2018</v>
      </c>
      <c r="E210" s="191"/>
      <c r="F210" s="193" t="s">
        <v>416</v>
      </c>
      <c r="G210" t="s">
        <v>154</v>
      </c>
      <c r="H210" s="193" t="s">
        <v>285</v>
      </c>
      <c r="I210" s="271">
        <f t="shared" si="56"/>
        <v>-8.75</v>
      </c>
      <c r="J210" s="271">
        <f t="shared" si="54"/>
        <v>-8.75</v>
      </c>
      <c r="L210" s="194">
        <f t="shared" si="57"/>
        <v>3.9658333333333333</v>
      </c>
    </row>
    <row r="211" spans="3:12">
      <c r="C211" s="191" t="s">
        <v>8</v>
      </c>
      <c r="D211" s="191">
        <v>2019</v>
      </c>
      <c r="E211" s="191"/>
      <c r="F211" s="193" t="s">
        <v>416</v>
      </c>
      <c r="G211" t="s">
        <v>154</v>
      </c>
      <c r="H211" s="193" t="s">
        <v>285</v>
      </c>
      <c r="I211" s="271">
        <f t="shared" si="56"/>
        <v>0</v>
      </c>
      <c r="J211" s="271">
        <f t="shared" si="54"/>
        <v>0</v>
      </c>
      <c r="L211" s="194">
        <f t="shared" si="57"/>
        <v>0</v>
      </c>
    </row>
    <row r="212" spans="3:12">
      <c r="C212" s="191" t="s">
        <v>8</v>
      </c>
      <c r="D212" s="191">
        <v>2010</v>
      </c>
      <c r="E212" s="191"/>
      <c r="F212" s="273" t="s">
        <v>175</v>
      </c>
      <c r="G212" t="s">
        <v>154</v>
      </c>
      <c r="H212" s="193" t="s">
        <v>285</v>
      </c>
      <c r="I212" s="271">
        <f t="shared" si="56"/>
        <v>-10.583333333333336</v>
      </c>
      <c r="J212" s="271">
        <f t="shared" si="54"/>
        <v>-10.583333333333336</v>
      </c>
      <c r="L212" s="194">
        <f t="shared" si="57"/>
        <v>8.75</v>
      </c>
    </row>
    <row r="213" spans="3:12">
      <c r="C213" s="191" t="s">
        <v>8</v>
      </c>
      <c r="D213" s="191">
        <v>2018</v>
      </c>
      <c r="E213" s="191"/>
      <c r="F213" s="273" t="s">
        <v>175</v>
      </c>
      <c r="G213" t="s">
        <v>154</v>
      </c>
      <c r="H213" s="193" t="s">
        <v>285</v>
      </c>
      <c r="I213" s="271">
        <f t="shared" si="56"/>
        <v>-10.583333333333336</v>
      </c>
      <c r="J213" s="271">
        <f t="shared" si="54"/>
        <v>-10.583333333333336</v>
      </c>
      <c r="L213" s="194">
        <f t="shared" si="57"/>
        <v>8.75</v>
      </c>
    </row>
    <row r="214" spans="3:12">
      <c r="C214" s="191" t="s">
        <v>8</v>
      </c>
      <c r="D214" s="191">
        <v>2019</v>
      </c>
      <c r="E214" s="191"/>
      <c r="F214" s="273" t="s">
        <v>175</v>
      </c>
      <c r="G214" t="s">
        <v>154</v>
      </c>
      <c r="H214" s="193" t="s">
        <v>285</v>
      </c>
      <c r="I214" s="271">
        <f t="shared" si="56"/>
        <v>0</v>
      </c>
      <c r="J214" s="271">
        <f t="shared" si="54"/>
        <v>0</v>
      </c>
      <c r="L214" s="194">
        <f t="shared" si="57"/>
        <v>0</v>
      </c>
    </row>
    <row r="215" spans="3:12">
      <c r="C215" s="191" t="s">
        <v>8</v>
      </c>
      <c r="D215" s="191">
        <v>2010</v>
      </c>
      <c r="E215" s="191"/>
      <c r="F215" s="193" t="s">
        <v>417</v>
      </c>
      <c r="G215" t="s">
        <v>154</v>
      </c>
      <c r="H215" s="193" t="s">
        <v>285</v>
      </c>
      <c r="I215" s="271">
        <f t="shared" si="56"/>
        <v>-10.15375</v>
      </c>
      <c r="J215" s="271">
        <f t="shared" si="54"/>
        <v>-10.15375</v>
      </c>
      <c r="L215" s="194">
        <f t="shared" si="57"/>
        <v>10.583333333333336</v>
      </c>
    </row>
    <row r="216" spans="3:12">
      <c r="C216" s="191" t="s">
        <v>8</v>
      </c>
      <c r="D216" s="191">
        <v>2018</v>
      </c>
      <c r="E216" s="191"/>
      <c r="F216" s="193" t="s">
        <v>417</v>
      </c>
      <c r="G216" t="s">
        <v>154</v>
      </c>
      <c r="H216" s="193" t="s">
        <v>285</v>
      </c>
      <c r="I216" s="271">
        <f t="shared" si="56"/>
        <v>-10.15375</v>
      </c>
      <c r="J216" s="271">
        <f t="shared" si="54"/>
        <v>-10.15375</v>
      </c>
      <c r="L216" s="194">
        <f t="shared" si="57"/>
        <v>10.583333333333336</v>
      </c>
    </row>
    <row r="217" spans="3:12">
      <c r="C217" s="191" t="s">
        <v>8</v>
      </c>
      <c r="D217" s="191">
        <v>2019</v>
      </c>
      <c r="E217" s="191"/>
      <c r="F217" s="193" t="s">
        <v>417</v>
      </c>
      <c r="G217" t="s">
        <v>154</v>
      </c>
      <c r="H217" s="193" t="s">
        <v>285</v>
      </c>
      <c r="I217" s="271">
        <f t="shared" si="56"/>
        <v>0</v>
      </c>
      <c r="J217" s="271">
        <f t="shared" si="54"/>
        <v>0</v>
      </c>
      <c r="L217" s="194">
        <f t="shared" si="57"/>
        <v>0</v>
      </c>
    </row>
    <row r="218" spans="3:12">
      <c r="C218" s="191" t="s">
        <v>8</v>
      </c>
      <c r="D218" s="191">
        <v>2010</v>
      </c>
      <c r="E218" s="191"/>
      <c r="F218" s="193" t="s">
        <v>176</v>
      </c>
      <c r="G218" t="s">
        <v>154</v>
      </c>
      <c r="H218" s="193" t="s">
        <v>285</v>
      </c>
      <c r="I218" s="271">
        <f t="shared" si="56"/>
        <v>-5.915</v>
      </c>
      <c r="J218" s="271">
        <f t="shared" si="54"/>
        <v>-5.915</v>
      </c>
      <c r="L218" s="194">
        <f t="shared" si="57"/>
        <v>10.15375</v>
      </c>
    </row>
    <row r="219" spans="3:12">
      <c r="C219" s="191" t="s">
        <v>8</v>
      </c>
      <c r="D219" s="191">
        <v>2018</v>
      </c>
      <c r="E219" s="191"/>
      <c r="F219" s="193" t="s">
        <v>176</v>
      </c>
      <c r="G219" t="s">
        <v>154</v>
      </c>
      <c r="H219" s="193" t="s">
        <v>285</v>
      </c>
      <c r="I219" s="271">
        <f t="shared" si="56"/>
        <v>-5.915</v>
      </c>
      <c r="J219" s="271">
        <f t="shared" si="54"/>
        <v>-5.915</v>
      </c>
      <c r="L219" s="194">
        <f t="shared" si="57"/>
        <v>10.15375</v>
      </c>
    </row>
    <row r="220" spans="3:12">
      <c r="C220" s="191" t="s">
        <v>8</v>
      </c>
      <c r="D220" s="191">
        <v>2019</v>
      </c>
      <c r="E220" s="191"/>
      <c r="F220" s="193" t="s">
        <v>176</v>
      </c>
      <c r="G220" t="s">
        <v>154</v>
      </c>
      <c r="H220" s="193" t="s">
        <v>285</v>
      </c>
      <c r="I220" s="271">
        <f t="shared" si="56"/>
        <v>0</v>
      </c>
      <c r="J220" s="271">
        <f t="shared" si="54"/>
        <v>0</v>
      </c>
      <c r="L220" s="194">
        <f t="shared" si="57"/>
        <v>0</v>
      </c>
    </row>
    <row r="221" spans="3:12">
      <c r="C221" s="191" t="s">
        <v>8</v>
      </c>
      <c r="D221" s="191">
        <v>2010</v>
      </c>
      <c r="E221" s="191"/>
      <c r="F221" s="193" t="s">
        <v>418</v>
      </c>
      <c r="G221" t="s">
        <v>154</v>
      </c>
      <c r="H221" s="193" t="s">
        <v>285</v>
      </c>
      <c r="I221" s="271">
        <f t="shared" si="56"/>
        <v>-13.811666666666667</v>
      </c>
      <c r="J221" s="271">
        <f t="shared" si="54"/>
        <v>-13.811666666666667</v>
      </c>
      <c r="L221" s="194">
        <f t="shared" si="57"/>
        <v>5.915</v>
      </c>
    </row>
    <row r="222" spans="3:12">
      <c r="C222" s="191" t="s">
        <v>8</v>
      </c>
      <c r="D222" s="191">
        <v>2018</v>
      </c>
      <c r="E222" s="191"/>
      <c r="F222" s="193" t="s">
        <v>418</v>
      </c>
      <c r="G222" t="s">
        <v>154</v>
      </c>
      <c r="H222" s="193" t="s">
        <v>285</v>
      </c>
      <c r="I222" s="271">
        <f t="shared" si="56"/>
        <v>-13.811666666666667</v>
      </c>
      <c r="J222" s="271">
        <f t="shared" si="54"/>
        <v>-13.811666666666667</v>
      </c>
      <c r="L222" s="194">
        <f t="shared" si="57"/>
        <v>5.915</v>
      </c>
    </row>
    <row r="223" spans="3:12">
      <c r="C223" s="191" t="s">
        <v>8</v>
      </c>
      <c r="D223" s="191">
        <v>2019</v>
      </c>
      <c r="E223" s="191"/>
      <c r="F223" s="193" t="s">
        <v>418</v>
      </c>
      <c r="G223" t="s">
        <v>154</v>
      </c>
      <c r="H223" s="193" t="s">
        <v>285</v>
      </c>
      <c r="I223" s="271">
        <f t="shared" si="56"/>
        <v>0</v>
      </c>
      <c r="J223" s="271">
        <f t="shared" ref="J223:J286" si="58">I223</f>
        <v>0</v>
      </c>
      <c r="L223" s="194">
        <f t="shared" si="57"/>
        <v>0</v>
      </c>
    </row>
    <row r="224" spans="3:12">
      <c r="C224" s="191" t="s">
        <v>8</v>
      </c>
      <c r="D224" s="191">
        <v>2010</v>
      </c>
      <c r="E224" s="191"/>
      <c r="F224" s="193" t="s">
        <v>419</v>
      </c>
      <c r="G224" t="s">
        <v>154</v>
      </c>
      <c r="H224" s="193" t="s">
        <v>285</v>
      </c>
      <c r="I224" s="271">
        <f t="shared" si="56"/>
        <v>-9.4641666666666673</v>
      </c>
      <c r="J224" s="271">
        <f t="shared" si="58"/>
        <v>-9.4641666666666673</v>
      </c>
      <c r="L224" s="194">
        <f t="shared" si="57"/>
        <v>13.811666666666667</v>
      </c>
    </row>
    <row r="225" spans="3:12">
      <c r="C225" s="191" t="s">
        <v>8</v>
      </c>
      <c r="D225" s="191">
        <v>2018</v>
      </c>
      <c r="E225" s="191"/>
      <c r="F225" s="193" t="s">
        <v>419</v>
      </c>
      <c r="G225" t="s">
        <v>154</v>
      </c>
      <c r="H225" s="193" t="s">
        <v>285</v>
      </c>
      <c r="I225" s="271">
        <f t="shared" si="56"/>
        <v>-9.4641666666666673</v>
      </c>
      <c r="J225" s="271">
        <f t="shared" si="58"/>
        <v>-9.4641666666666673</v>
      </c>
      <c r="L225" s="194">
        <f t="shared" si="57"/>
        <v>13.811666666666667</v>
      </c>
    </row>
    <row r="226" spans="3:12">
      <c r="C226" s="191" t="s">
        <v>8</v>
      </c>
      <c r="D226" s="191">
        <v>2019</v>
      </c>
      <c r="E226" s="191"/>
      <c r="F226" s="193" t="s">
        <v>419</v>
      </c>
      <c r="G226" t="s">
        <v>154</v>
      </c>
      <c r="H226" s="193" t="s">
        <v>285</v>
      </c>
      <c r="I226" s="271">
        <f t="shared" si="56"/>
        <v>0</v>
      </c>
      <c r="J226" s="271">
        <f t="shared" si="58"/>
        <v>0</v>
      </c>
      <c r="L226" s="194">
        <f t="shared" si="57"/>
        <v>0</v>
      </c>
    </row>
    <row r="227" spans="3:12">
      <c r="C227" s="191" t="s">
        <v>8</v>
      </c>
      <c r="D227" s="191">
        <v>2010</v>
      </c>
      <c r="E227" s="191"/>
      <c r="F227" s="193" t="s">
        <v>181</v>
      </c>
      <c r="G227" t="s">
        <v>154</v>
      </c>
      <c r="H227" s="193" t="s">
        <v>285</v>
      </c>
      <c r="I227" s="271">
        <f t="shared" si="56"/>
        <v>-9.6925000000000008</v>
      </c>
      <c r="J227" s="271">
        <f t="shared" si="58"/>
        <v>-9.6925000000000008</v>
      </c>
      <c r="L227" s="194">
        <f t="shared" si="57"/>
        <v>9.4641666666666673</v>
      </c>
    </row>
    <row r="228" spans="3:12">
      <c r="C228" s="191" t="s">
        <v>8</v>
      </c>
      <c r="D228" s="191">
        <v>2018</v>
      </c>
      <c r="E228" s="191"/>
      <c r="F228" s="193" t="s">
        <v>181</v>
      </c>
      <c r="G228" t="s">
        <v>154</v>
      </c>
      <c r="H228" s="193" t="s">
        <v>285</v>
      </c>
      <c r="I228" s="271">
        <f t="shared" si="56"/>
        <v>-9.6925000000000008</v>
      </c>
      <c r="J228" s="271">
        <f t="shared" si="58"/>
        <v>-9.6925000000000008</v>
      </c>
      <c r="L228" s="194">
        <f t="shared" si="57"/>
        <v>9.4641666666666673</v>
      </c>
    </row>
    <row r="229" spans="3:12">
      <c r="C229" s="191" t="s">
        <v>8</v>
      </c>
      <c r="D229" s="191">
        <v>2019</v>
      </c>
      <c r="E229" s="191"/>
      <c r="F229" s="193" t="s">
        <v>181</v>
      </c>
      <c r="G229" t="s">
        <v>154</v>
      </c>
      <c r="H229" s="193" t="s">
        <v>285</v>
      </c>
      <c r="I229" s="271">
        <f t="shared" si="56"/>
        <v>0</v>
      </c>
      <c r="J229" s="271">
        <f t="shared" si="58"/>
        <v>0</v>
      </c>
      <c r="L229" s="194">
        <f t="shared" si="57"/>
        <v>0</v>
      </c>
    </row>
    <row r="230" spans="3:12">
      <c r="C230" s="191" t="s">
        <v>8</v>
      </c>
      <c r="D230" s="191">
        <v>2010</v>
      </c>
      <c r="E230" s="191"/>
      <c r="F230" s="193" t="s">
        <v>169</v>
      </c>
      <c r="G230" t="s">
        <v>154</v>
      </c>
      <c r="H230" s="193" t="s">
        <v>285</v>
      </c>
      <c r="I230" s="271">
        <f t="shared" si="56"/>
        <v>-10.314583333333333</v>
      </c>
      <c r="J230" s="271">
        <f t="shared" si="58"/>
        <v>-10.314583333333333</v>
      </c>
      <c r="L230" s="194">
        <f t="shared" si="57"/>
        <v>9.6925000000000008</v>
      </c>
    </row>
    <row r="231" spans="3:12">
      <c r="C231" s="191" t="s">
        <v>8</v>
      </c>
      <c r="D231" s="191">
        <v>2018</v>
      </c>
      <c r="E231" s="191"/>
      <c r="F231" s="193" t="s">
        <v>169</v>
      </c>
      <c r="G231" t="s">
        <v>154</v>
      </c>
      <c r="H231" s="193" t="s">
        <v>285</v>
      </c>
      <c r="I231" s="271">
        <f t="shared" si="56"/>
        <v>-10.314583333333333</v>
      </c>
      <c r="J231" s="271">
        <f t="shared" si="58"/>
        <v>-10.314583333333333</v>
      </c>
      <c r="L231" s="194">
        <f t="shared" si="57"/>
        <v>9.6925000000000008</v>
      </c>
    </row>
    <row r="232" spans="3:12">
      <c r="C232" s="191" t="s">
        <v>8</v>
      </c>
      <c r="D232" s="191">
        <v>2019</v>
      </c>
      <c r="E232" s="191"/>
      <c r="F232" s="193" t="s">
        <v>169</v>
      </c>
      <c r="G232" t="s">
        <v>154</v>
      </c>
      <c r="H232" s="193" t="s">
        <v>285</v>
      </c>
      <c r="I232" s="271">
        <f t="shared" si="56"/>
        <v>0</v>
      </c>
      <c r="J232" s="271">
        <f t="shared" si="58"/>
        <v>0</v>
      </c>
      <c r="L232" s="194">
        <f t="shared" si="57"/>
        <v>0</v>
      </c>
    </row>
    <row r="233" spans="3:12">
      <c r="C233" s="191" t="s">
        <v>8</v>
      </c>
      <c r="D233" s="191">
        <v>2010</v>
      </c>
      <c r="E233" s="191"/>
      <c r="F233" s="193" t="s">
        <v>170</v>
      </c>
      <c r="G233" t="s">
        <v>154</v>
      </c>
      <c r="H233" s="193" t="s">
        <v>285</v>
      </c>
      <c r="I233" s="271">
        <f t="shared" si="56"/>
        <v>-10.314583333333333</v>
      </c>
      <c r="J233" s="271">
        <f t="shared" si="58"/>
        <v>-10.314583333333333</v>
      </c>
      <c r="L233" s="194">
        <f t="shared" si="57"/>
        <v>10.314583333333333</v>
      </c>
    </row>
    <row r="234" spans="3:12">
      <c r="C234" s="191" t="s">
        <v>8</v>
      </c>
      <c r="D234" s="191">
        <v>2018</v>
      </c>
      <c r="E234" s="191"/>
      <c r="F234" s="193" t="s">
        <v>170</v>
      </c>
      <c r="G234" t="s">
        <v>154</v>
      </c>
      <c r="H234" s="193" t="s">
        <v>285</v>
      </c>
      <c r="I234" s="271">
        <f t="shared" si="56"/>
        <v>-10.314583333333333</v>
      </c>
      <c r="J234" s="271">
        <f t="shared" si="58"/>
        <v>-10.314583333333333</v>
      </c>
      <c r="L234" s="194">
        <f t="shared" si="57"/>
        <v>10.314583333333333</v>
      </c>
    </row>
    <row r="235" spans="3:12">
      <c r="C235" s="191" t="s">
        <v>8</v>
      </c>
      <c r="D235" s="191">
        <v>2019</v>
      </c>
      <c r="E235" s="191"/>
      <c r="F235" s="193" t="s">
        <v>170</v>
      </c>
      <c r="G235" t="s">
        <v>154</v>
      </c>
      <c r="H235" s="193" t="s">
        <v>285</v>
      </c>
      <c r="I235" s="271">
        <f t="shared" si="56"/>
        <v>0</v>
      </c>
      <c r="J235" s="271">
        <f t="shared" si="58"/>
        <v>0</v>
      </c>
      <c r="L235" s="194">
        <f t="shared" si="57"/>
        <v>0</v>
      </c>
    </row>
    <row r="236" spans="3:12">
      <c r="C236" s="191" t="s">
        <v>8</v>
      </c>
      <c r="D236" s="191">
        <v>2010</v>
      </c>
      <c r="E236" s="191"/>
      <c r="F236" s="193" t="s">
        <v>413</v>
      </c>
      <c r="G236" t="s">
        <v>154</v>
      </c>
      <c r="H236" s="193" t="s">
        <v>285</v>
      </c>
      <c r="I236" s="271">
        <f t="shared" si="56"/>
        <v>-7.2195833333333335</v>
      </c>
      <c r="J236" s="271">
        <f t="shared" si="58"/>
        <v>-7.2195833333333335</v>
      </c>
      <c r="L236" s="194">
        <f t="shared" si="57"/>
        <v>10.314583333333333</v>
      </c>
    </row>
    <row r="237" spans="3:12">
      <c r="C237" s="191" t="s">
        <v>8</v>
      </c>
      <c r="D237" s="191">
        <v>2018</v>
      </c>
      <c r="E237" s="191"/>
      <c r="F237" s="193" t="s">
        <v>413</v>
      </c>
      <c r="G237" t="s">
        <v>154</v>
      </c>
      <c r="H237" s="193" t="s">
        <v>285</v>
      </c>
      <c r="I237" s="271">
        <f t="shared" si="56"/>
        <v>-7.2195833333333335</v>
      </c>
      <c r="J237" s="271">
        <f t="shared" si="58"/>
        <v>-7.2195833333333335</v>
      </c>
      <c r="L237" s="194">
        <f t="shared" si="57"/>
        <v>10.314583333333333</v>
      </c>
    </row>
    <row r="238" spans="3:12">
      <c r="C238" s="191" t="s">
        <v>8</v>
      </c>
      <c r="D238" s="191">
        <v>2019</v>
      </c>
      <c r="E238" s="191"/>
      <c r="F238" s="193" t="s">
        <v>413</v>
      </c>
      <c r="G238" t="s">
        <v>154</v>
      </c>
      <c r="H238" s="193" t="s">
        <v>285</v>
      </c>
      <c r="I238" s="271">
        <f t="shared" ref="I238:I269" si="59">L99*-1</f>
        <v>0</v>
      </c>
      <c r="J238" s="271">
        <f t="shared" si="58"/>
        <v>0</v>
      </c>
      <c r="L238" s="194">
        <f t="shared" si="57"/>
        <v>0</v>
      </c>
    </row>
    <row r="239" spans="3:12">
      <c r="C239" s="191" t="s">
        <v>8</v>
      </c>
      <c r="D239" s="191">
        <v>2010</v>
      </c>
      <c r="E239" s="191"/>
      <c r="F239" s="193" t="s">
        <v>420</v>
      </c>
      <c r="G239" t="s">
        <v>154</v>
      </c>
      <c r="H239" s="193" t="s">
        <v>285</v>
      </c>
      <c r="I239" s="271">
        <f t="shared" si="59"/>
        <v>-8.9108333333333345</v>
      </c>
      <c r="J239" s="271">
        <f t="shared" si="58"/>
        <v>-8.9108333333333345</v>
      </c>
      <c r="L239" s="194">
        <f t="shared" si="57"/>
        <v>7.2195833333333335</v>
      </c>
    </row>
    <row r="240" spans="3:12">
      <c r="C240" s="191" t="s">
        <v>8</v>
      </c>
      <c r="D240" s="191">
        <v>2018</v>
      </c>
      <c r="E240" s="191"/>
      <c r="F240" s="193" t="s">
        <v>420</v>
      </c>
      <c r="G240" t="s">
        <v>154</v>
      </c>
      <c r="H240" s="193" t="s">
        <v>285</v>
      </c>
      <c r="I240" s="271">
        <f t="shared" si="59"/>
        <v>-8.9108333333333345</v>
      </c>
      <c r="J240" s="271">
        <f t="shared" si="58"/>
        <v>-8.9108333333333345</v>
      </c>
      <c r="L240" s="194">
        <f t="shared" si="57"/>
        <v>7.2195833333333335</v>
      </c>
    </row>
    <row r="241" spans="3:12">
      <c r="C241" s="191" t="s">
        <v>8</v>
      </c>
      <c r="D241" s="191">
        <v>2019</v>
      </c>
      <c r="E241" s="191"/>
      <c r="F241" s="193" t="s">
        <v>420</v>
      </c>
      <c r="G241" t="s">
        <v>154</v>
      </c>
      <c r="H241" s="193" t="s">
        <v>285</v>
      </c>
      <c r="I241" s="271">
        <f t="shared" si="59"/>
        <v>0</v>
      </c>
      <c r="J241" s="271">
        <f t="shared" si="58"/>
        <v>0</v>
      </c>
      <c r="L241" s="194">
        <f t="shared" ref="L241:L272" si="60">L99</f>
        <v>0</v>
      </c>
    </row>
    <row r="242" spans="3:12">
      <c r="C242" s="191" t="s">
        <v>8</v>
      </c>
      <c r="D242" s="191">
        <v>2010</v>
      </c>
      <c r="E242" s="191"/>
      <c r="F242" s="193" t="s">
        <v>171</v>
      </c>
      <c r="G242" t="s">
        <v>154</v>
      </c>
      <c r="H242" s="193" t="s">
        <v>285</v>
      </c>
      <c r="I242" s="271">
        <f t="shared" si="59"/>
        <v>-7.3033333333333337</v>
      </c>
      <c r="J242" s="271">
        <f t="shared" si="58"/>
        <v>-7.3033333333333337</v>
      </c>
      <c r="L242" s="194">
        <f t="shared" si="60"/>
        <v>8.9108333333333345</v>
      </c>
    </row>
    <row r="243" spans="3:12">
      <c r="C243" s="191" t="s">
        <v>8</v>
      </c>
      <c r="D243" s="191">
        <v>2018</v>
      </c>
      <c r="E243" s="191"/>
      <c r="F243" s="193" t="s">
        <v>171</v>
      </c>
      <c r="G243" t="s">
        <v>154</v>
      </c>
      <c r="H243" s="193" t="s">
        <v>285</v>
      </c>
      <c r="I243" s="271">
        <f t="shared" si="59"/>
        <v>-7.3033333333333337</v>
      </c>
      <c r="J243" s="271">
        <f t="shared" si="58"/>
        <v>-7.3033333333333337</v>
      </c>
      <c r="L243" s="194">
        <f t="shared" si="60"/>
        <v>8.9108333333333345</v>
      </c>
    </row>
    <row r="244" spans="3:12">
      <c r="C244" s="191" t="s">
        <v>8</v>
      </c>
      <c r="D244" s="191">
        <v>2019</v>
      </c>
      <c r="E244" s="191"/>
      <c r="F244" s="193" t="s">
        <v>171</v>
      </c>
      <c r="G244" t="s">
        <v>154</v>
      </c>
      <c r="H244" s="193" t="s">
        <v>285</v>
      </c>
      <c r="I244" s="271">
        <f t="shared" si="59"/>
        <v>0</v>
      </c>
      <c r="J244" s="271">
        <f t="shared" si="58"/>
        <v>0</v>
      </c>
      <c r="L244" s="194">
        <f t="shared" si="60"/>
        <v>0</v>
      </c>
    </row>
    <row r="245" spans="3:12">
      <c r="C245" s="191" t="s">
        <v>8</v>
      </c>
      <c r="D245" s="191">
        <v>2010</v>
      </c>
      <c r="E245" s="191"/>
      <c r="F245" s="193" t="s">
        <v>421</v>
      </c>
      <c r="G245" t="s">
        <v>154</v>
      </c>
      <c r="H245" s="193" t="s">
        <v>285</v>
      </c>
      <c r="I245" s="271">
        <f t="shared" si="59"/>
        <v>-9.2550000000000008</v>
      </c>
      <c r="J245" s="271">
        <f t="shared" si="58"/>
        <v>-9.2550000000000008</v>
      </c>
      <c r="L245" s="194">
        <f t="shared" si="60"/>
        <v>7.3033333333333337</v>
      </c>
    </row>
    <row r="246" spans="3:12">
      <c r="C246" s="191" t="s">
        <v>8</v>
      </c>
      <c r="D246" s="191">
        <v>2018</v>
      </c>
      <c r="E246" s="191"/>
      <c r="F246" s="193" t="s">
        <v>421</v>
      </c>
      <c r="G246" t="s">
        <v>154</v>
      </c>
      <c r="H246" s="193" t="s">
        <v>285</v>
      </c>
      <c r="I246" s="271">
        <f t="shared" si="59"/>
        <v>-9.2550000000000008</v>
      </c>
      <c r="J246" s="271">
        <f t="shared" si="58"/>
        <v>-9.2550000000000008</v>
      </c>
      <c r="L246" s="194">
        <f t="shared" si="60"/>
        <v>7.3033333333333337</v>
      </c>
    </row>
    <row r="247" spans="3:12">
      <c r="C247" s="191" t="s">
        <v>8</v>
      </c>
      <c r="D247" s="191">
        <v>2019</v>
      </c>
      <c r="E247" s="191"/>
      <c r="F247" s="193" t="s">
        <v>421</v>
      </c>
      <c r="G247" t="s">
        <v>154</v>
      </c>
      <c r="H247" s="193" t="s">
        <v>285</v>
      </c>
      <c r="I247" s="271">
        <f t="shared" si="59"/>
        <v>0</v>
      </c>
      <c r="J247" s="271">
        <f t="shared" si="58"/>
        <v>0</v>
      </c>
      <c r="L247" s="194">
        <f t="shared" si="60"/>
        <v>0</v>
      </c>
    </row>
    <row r="248" spans="3:12">
      <c r="C248" s="191" t="s">
        <v>8</v>
      </c>
      <c r="D248" s="191">
        <v>2010</v>
      </c>
      <c r="E248" s="191"/>
      <c r="F248" s="193" t="s">
        <v>100</v>
      </c>
      <c r="G248" t="s">
        <v>154</v>
      </c>
      <c r="H248" s="193" t="s">
        <v>285</v>
      </c>
      <c r="I248" s="271">
        <f t="shared" si="59"/>
        <v>-6.2787499999999996</v>
      </c>
      <c r="J248" s="271">
        <f t="shared" si="58"/>
        <v>-6.2787499999999996</v>
      </c>
      <c r="L248" s="194">
        <f t="shared" si="60"/>
        <v>9.2550000000000008</v>
      </c>
    </row>
    <row r="249" spans="3:12">
      <c r="C249" s="191" t="s">
        <v>8</v>
      </c>
      <c r="D249" s="191">
        <v>2018</v>
      </c>
      <c r="E249" s="191"/>
      <c r="F249" s="193" t="s">
        <v>100</v>
      </c>
      <c r="G249" t="s">
        <v>154</v>
      </c>
      <c r="H249" s="193" t="s">
        <v>285</v>
      </c>
      <c r="I249" s="271">
        <f t="shared" si="59"/>
        <v>-6.2787499999999996</v>
      </c>
      <c r="J249" s="271">
        <f t="shared" si="58"/>
        <v>-6.2787499999999996</v>
      </c>
      <c r="L249" s="194">
        <f t="shared" si="60"/>
        <v>9.2550000000000008</v>
      </c>
    </row>
    <row r="250" spans="3:12">
      <c r="C250" s="191" t="s">
        <v>8</v>
      </c>
      <c r="D250" s="191">
        <v>2019</v>
      </c>
      <c r="E250" s="191"/>
      <c r="F250" s="193" t="s">
        <v>100</v>
      </c>
      <c r="G250" t="s">
        <v>154</v>
      </c>
      <c r="H250" s="193" t="s">
        <v>285</v>
      </c>
      <c r="I250" s="271">
        <f t="shared" si="59"/>
        <v>0</v>
      </c>
      <c r="J250" s="271">
        <f t="shared" si="58"/>
        <v>0</v>
      </c>
      <c r="L250" s="194">
        <f t="shared" si="60"/>
        <v>0</v>
      </c>
    </row>
    <row r="251" spans="3:12">
      <c r="C251" s="191" t="s">
        <v>8</v>
      </c>
      <c r="D251" s="191">
        <v>2010</v>
      </c>
      <c r="E251" s="191"/>
      <c r="F251" s="193" t="s">
        <v>172</v>
      </c>
      <c r="G251" t="s">
        <v>154</v>
      </c>
      <c r="H251" s="193" t="s">
        <v>285</v>
      </c>
      <c r="I251" s="271">
        <f t="shared" si="59"/>
        <v>-10.2125</v>
      </c>
      <c r="J251" s="271">
        <f t="shared" si="58"/>
        <v>-10.2125</v>
      </c>
      <c r="L251" s="194">
        <f t="shared" si="60"/>
        <v>6.2787499999999996</v>
      </c>
    </row>
    <row r="252" spans="3:12">
      <c r="C252" s="191" t="s">
        <v>8</v>
      </c>
      <c r="D252" s="191">
        <v>2018</v>
      </c>
      <c r="E252" s="191"/>
      <c r="F252" s="193" t="s">
        <v>172</v>
      </c>
      <c r="G252" t="s">
        <v>154</v>
      </c>
      <c r="H252" s="193" t="s">
        <v>285</v>
      </c>
      <c r="I252" s="271">
        <f t="shared" si="59"/>
        <v>-10.2125</v>
      </c>
      <c r="J252" s="271">
        <f t="shared" si="58"/>
        <v>-10.2125</v>
      </c>
      <c r="L252" s="194">
        <f t="shared" si="60"/>
        <v>6.2787499999999996</v>
      </c>
    </row>
    <row r="253" spans="3:12">
      <c r="C253" s="191" t="s">
        <v>8</v>
      </c>
      <c r="D253" s="191">
        <v>2019</v>
      </c>
      <c r="E253" s="191"/>
      <c r="F253" s="193" t="s">
        <v>172</v>
      </c>
      <c r="G253" t="s">
        <v>154</v>
      </c>
      <c r="H253" s="193" t="s">
        <v>285</v>
      </c>
      <c r="I253" s="271">
        <f t="shared" si="59"/>
        <v>0</v>
      </c>
      <c r="J253" s="271">
        <f t="shared" si="58"/>
        <v>0</v>
      </c>
      <c r="L253" s="194">
        <f t="shared" si="60"/>
        <v>0</v>
      </c>
    </row>
    <row r="254" spans="3:12">
      <c r="C254" s="191" t="s">
        <v>8</v>
      </c>
      <c r="D254" s="191">
        <v>2010</v>
      </c>
      <c r="E254" s="191"/>
      <c r="F254" s="193" t="s">
        <v>173</v>
      </c>
      <c r="G254" t="s">
        <v>154</v>
      </c>
      <c r="H254" s="193" t="s">
        <v>285</v>
      </c>
      <c r="I254" s="271">
        <f t="shared" si="59"/>
        <v>-5.375</v>
      </c>
      <c r="J254" s="271">
        <f t="shared" si="58"/>
        <v>-5.375</v>
      </c>
      <c r="L254" s="194">
        <f t="shared" si="60"/>
        <v>10.2125</v>
      </c>
    </row>
    <row r="255" spans="3:12">
      <c r="C255" s="191" t="s">
        <v>8</v>
      </c>
      <c r="D255" s="191">
        <v>2018</v>
      </c>
      <c r="E255" s="191"/>
      <c r="F255" s="193" t="s">
        <v>173</v>
      </c>
      <c r="G255" t="s">
        <v>154</v>
      </c>
      <c r="H255" s="193" t="s">
        <v>285</v>
      </c>
      <c r="I255" s="271">
        <f t="shared" si="59"/>
        <v>-5.375</v>
      </c>
      <c r="J255" s="271">
        <f t="shared" si="58"/>
        <v>-5.375</v>
      </c>
      <c r="L255" s="194">
        <f t="shared" si="60"/>
        <v>10.2125</v>
      </c>
    </row>
    <row r="256" spans="3:12">
      <c r="C256" s="191" t="s">
        <v>8</v>
      </c>
      <c r="D256" s="191">
        <v>2019</v>
      </c>
      <c r="E256" s="191"/>
      <c r="F256" s="193" t="s">
        <v>173</v>
      </c>
      <c r="G256" t="s">
        <v>154</v>
      </c>
      <c r="H256" s="193" t="s">
        <v>285</v>
      </c>
      <c r="I256" s="271">
        <f t="shared" si="59"/>
        <v>0</v>
      </c>
      <c r="J256" s="271">
        <f t="shared" si="58"/>
        <v>0</v>
      </c>
      <c r="L256" s="194">
        <f t="shared" si="60"/>
        <v>0</v>
      </c>
    </row>
    <row r="257" spans="3:12">
      <c r="C257" s="191" t="s">
        <v>8</v>
      </c>
      <c r="D257" s="191">
        <v>2010</v>
      </c>
      <c r="E257" s="191"/>
      <c r="F257" s="193" t="s">
        <v>167</v>
      </c>
      <c r="G257" t="s">
        <v>154</v>
      </c>
      <c r="H257" s="193" t="s">
        <v>285</v>
      </c>
      <c r="I257" s="271">
        <f t="shared" si="59"/>
        <v>-9.6925000000000008</v>
      </c>
      <c r="J257" s="271">
        <f t="shared" si="58"/>
        <v>-9.6925000000000008</v>
      </c>
      <c r="L257" s="194">
        <f t="shared" si="60"/>
        <v>5.375</v>
      </c>
    </row>
    <row r="258" spans="3:12">
      <c r="C258" s="191" t="s">
        <v>8</v>
      </c>
      <c r="D258" s="191">
        <v>2018</v>
      </c>
      <c r="E258" s="191"/>
      <c r="F258" s="193" t="s">
        <v>167</v>
      </c>
      <c r="G258" t="s">
        <v>154</v>
      </c>
      <c r="H258" s="193" t="s">
        <v>285</v>
      </c>
      <c r="I258" s="271">
        <f t="shared" si="59"/>
        <v>-9.6925000000000008</v>
      </c>
      <c r="J258" s="271">
        <f t="shared" si="58"/>
        <v>-9.6925000000000008</v>
      </c>
      <c r="L258" s="194">
        <f t="shared" si="60"/>
        <v>5.375</v>
      </c>
    </row>
    <row r="259" spans="3:12">
      <c r="C259" s="191" t="s">
        <v>8</v>
      </c>
      <c r="D259" s="191">
        <v>2019</v>
      </c>
      <c r="E259" s="191"/>
      <c r="F259" s="193" t="s">
        <v>167</v>
      </c>
      <c r="G259" t="s">
        <v>154</v>
      </c>
      <c r="H259" s="193" t="s">
        <v>285</v>
      </c>
      <c r="I259" s="271">
        <f t="shared" si="59"/>
        <v>0</v>
      </c>
      <c r="J259" s="271">
        <f t="shared" si="58"/>
        <v>0</v>
      </c>
      <c r="L259" s="194">
        <f t="shared" si="60"/>
        <v>0</v>
      </c>
    </row>
    <row r="260" spans="3:12">
      <c r="C260" s="191" t="s">
        <v>8</v>
      </c>
      <c r="D260" s="191">
        <v>2010</v>
      </c>
      <c r="E260" s="191"/>
      <c r="F260" s="193" t="s">
        <v>174</v>
      </c>
      <c r="G260" t="s">
        <v>154</v>
      </c>
      <c r="H260" s="193" t="s">
        <v>285</v>
      </c>
      <c r="I260" s="271">
        <f t="shared" si="59"/>
        <v>-7.2312500000000002</v>
      </c>
      <c r="J260" s="271">
        <f t="shared" si="58"/>
        <v>-7.2312500000000002</v>
      </c>
      <c r="L260" s="194">
        <f t="shared" si="60"/>
        <v>9.6925000000000008</v>
      </c>
    </row>
    <row r="261" spans="3:12">
      <c r="C261" s="191" t="s">
        <v>8</v>
      </c>
      <c r="D261" s="191">
        <v>2018</v>
      </c>
      <c r="E261" s="191"/>
      <c r="F261" s="193" t="s">
        <v>174</v>
      </c>
      <c r="G261" t="s">
        <v>154</v>
      </c>
      <c r="H261" s="193" t="s">
        <v>285</v>
      </c>
      <c r="I261" s="271">
        <f t="shared" si="59"/>
        <v>-7.2312500000000002</v>
      </c>
      <c r="J261" s="271">
        <f t="shared" si="58"/>
        <v>-7.2312500000000002</v>
      </c>
      <c r="L261" s="194">
        <f t="shared" si="60"/>
        <v>9.6925000000000008</v>
      </c>
    </row>
    <row r="262" spans="3:12">
      <c r="C262" s="191" t="s">
        <v>8</v>
      </c>
      <c r="D262" s="191">
        <v>2019</v>
      </c>
      <c r="E262" s="191"/>
      <c r="F262" s="193" t="s">
        <v>174</v>
      </c>
      <c r="G262" t="s">
        <v>154</v>
      </c>
      <c r="H262" s="193" t="s">
        <v>285</v>
      </c>
      <c r="I262" s="271">
        <f t="shared" si="59"/>
        <v>0</v>
      </c>
      <c r="J262" s="271">
        <f t="shared" si="58"/>
        <v>0</v>
      </c>
      <c r="L262" s="194">
        <f t="shared" si="60"/>
        <v>0</v>
      </c>
    </row>
    <row r="263" spans="3:12">
      <c r="C263" s="191" t="s">
        <v>8</v>
      </c>
      <c r="D263" s="191">
        <v>2010</v>
      </c>
      <c r="E263" s="191"/>
      <c r="F263" s="193" t="s">
        <v>422</v>
      </c>
      <c r="G263" t="s">
        <v>154</v>
      </c>
      <c r="H263" s="193" t="s">
        <v>285</v>
      </c>
      <c r="I263" s="271">
        <f t="shared" si="59"/>
        <v>-11.411250000000003</v>
      </c>
      <c r="J263" s="271">
        <f t="shared" si="58"/>
        <v>-11.411250000000003</v>
      </c>
      <c r="L263" s="194">
        <f t="shared" si="60"/>
        <v>7.2312500000000002</v>
      </c>
    </row>
    <row r="264" spans="3:12">
      <c r="C264" s="191" t="s">
        <v>8</v>
      </c>
      <c r="D264" s="191">
        <v>2018</v>
      </c>
      <c r="E264" s="191"/>
      <c r="F264" s="193" t="s">
        <v>422</v>
      </c>
      <c r="G264" t="s">
        <v>154</v>
      </c>
      <c r="H264" s="193" t="s">
        <v>285</v>
      </c>
      <c r="I264" s="271">
        <f t="shared" si="59"/>
        <v>-11.411250000000003</v>
      </c>
      <c r="J264" s="271">
        <f t="shared" si="58"/>
        <v>-11.411250000000003</v>
      </c>
      <c r="L264" s="194">
        <f t="shared" si="60"/>
        <v>7.2312500000000002</v>
      </c>
    </row>
    <row r="265" spans="3:12">
      <c r="C265" s="191" t="s">
        <v>8</v>
      </c>
      <c r="D265" s="191">
        <v>2019</v>
      </c>
      <c r="E265" s="191"/>
      <c r="F265" s="193" t="s">
        <v>422</v>
      </c>
      <c r="G265" t="s">
        <v>154</v>
      </c>
      <c r="H265" s="193" t="s">
        <v>285</v>
      </c>
      <c r="I265" s="271">
        <f t="shared" si="59"/>
        <v>0</v>
      </c>
      <c r="J265" s="271">
        <f t="shared" si="58"/>
        <v>0</v>
      </c>
      <c r="L265" s="194">
        <f t="shared" si="60"/>
        <v>0</v>
      </c>
    </row>
    <row r="266" spans="3:12">
      <c r="C266" s="191" t="s">
        <v>8</v>
      </c>
      <c r="D266" s="191">
        <v>2010</v>
      </c>
      <c r="E266" s="191"/>
      <c r="F266" s="193" t="s">
        <v>415</v>
      </c>
      <c r="G266" t="s">
        <v>154</v>
      </c>
      <c r="H266" s="193" t="s">
        <v>285</v>
      </c>
      <c r="I266" s="271">
        <f t="shared" si="59"/>
        <v>-3.9658333333333333</v>
      </c>
      <c r="J266" s="271">
        <f t="shared" si="58"/>
        <v>-3.9658333333333333</v>
      </c>
      <c r="L266" s="194">
        <f t="shared" si="60"/>
        <v>11.411250000000003</v>
      </c>
    </row>
    <row r="267" spans="3:12">
      <c r="C267" s="191" t="s">
        <v>8</v>
      </c>
      <c r="D267" s="191">
        <v>2018</v>
      </c>
      <c r="E267" s="191"/>
      <c r="F267" s="193" t="s">
        <v>415</v>
      </c>
      <c r="G267" t="s">
        <v>154</v>
      </c>
      <c r="H267" s="193" t="s">
        <v>285</v>
      </c>
      <c r="I267" s="271">
        <f t="shared" si="59"/>
        <v>-3.9658333333333333</v>
      </c>
      <c r="J267" s="271">
        <f t="shared" si="58"/>
        <v>-3.9658333333333333</v>
      </c>
      <c r="L267" s="194">
        <f t="shared" si="60"/>
        <v>11.411250000000003</v>
      </c>
    </row>
    <row r="268" spans="3:12">
      <c r="C268" s="191" t="s">
        <v>8</v>
      </c>
      <c r="D268" s="191">
        <v>2019</v>
      </c>
      <c r="E268" s="191"/>
      <c r="F268" s="193" t="s">
        <v>415</v>
      </c>
      <c r="G268" t="s">
        <v>154</v>
      </c>
      <c r="H268" s="193" t="s">
        <v>285</v>
      </c>
      <c r="I268" s="271">
        <f t="shared" si="59"/>
        <v>0</v>
      </c>
      <c r="J268" s="271">
        <f t="shared" si="58"/>
        <v>0</v>
      </c>
      <c r="L268" s="194">
        <f t="shared" si="60"/>
        <v>0</v>
      </c>
    </row>
    <row r="269" spans="3:12">
      <c r="C269" s="191" t="s">
        <v>8</v>
      </c>
      <c r="D269" s="191">
        <v>2010</v>
      </c>
      <c r="E269" s="191"/>
      <c r="F269" s="193" t="s">
        <v>423</v>
      </c>
      <c r="G269" t="s">
        <v>154</v>
      </c>
      <c r="H269" s="193" t="s">
        <v>285</v>
      </c>
      <c r="I269" s="271">
        <f t="shared" si="59"/>
        <v>-8.3333333333333339</v>
      </c>
      <c r="J269" s="271">
        <f t="shared" si="58"/>
        <v>-8.3333333333333339</v>
      </c>
      <c r="L269" s="194">
        <f t="shared" si="60"/>
        <v>3.9658333333333333</v>
      </c>
    </row>
    <row r="270" spans="3:12">
      <c r="C270" s="191" t="s">
        <v>8</v>
      </c>
      <c r="D270" s="191">
        <v>2018</v>
      </c>
      <c r="E270" s="191"/>
      <c r="F270" s="193" t="s">
        <v>423</v>
      </c>
      <c r="G270" t="s">
        <v>154</v>
      </c>
      <c r="H270" s="193" t="s">
        <v>285</v>
      </c>
      <c r="I270" s="271">
        <f t="shared" ref="I270:I283" si="61">L131*-1</f>
        <v>-8.3333333333333339</v>
      </c>
      <c r="J270" s="271">
        <f t="shared" si="58"/>
        <v>-8.3333333333333339</v>
      </c>
      <c r="L270" s="194">
        <f t="shared" si="60"/>
        <v>3.9658333333333333</v>
      </c>
    </row>
    <row r="271" spans="3:12">
      <c r="C271" s="191" t="s">
        <v>8</v>
      </c>
      <c r="D271" s="191">
        <v>2019</v>
      </c>
      <c r="E271" s="191"/>
      <c r="F271" s="193" t="s">
        <v>423</v>
      </c>
      <c r="G271" t="s">
        <v>154</v>
      </c>
      <c r="H271" s="193" t="s">
        <v>285</v>
      </c>
      <c r="I271" s="271">
        <f t="shared" si="61"/>
        <v>0</v>
      </c>
      <c r="J271" s="271">
        <f t="shared" si="58"/>
        <v>0</v>
      </c>
      <c r="L271" s="194">
        <f t="shared" si="60"/>
        <v>0</v>
      </c>
    </row>
    <row r="272" spans="3:12">
      <c r="C272" s="191" t="s">
        <v>8</v>
      </c>
      <c r="D272" s="191">
        <v>2010</v>
      </c>
      <c r="E272" s="191"/>
      <c r="F272" s="273" t="s">
        <v>175</v>
      </c>
      <c r="G272" t="s">
        <v>154</v>
      </c>
      <c r="H272" s="193" t="s">
        <v>285</v>
      </c>
      <c r="I272" s="271">
        <f t="shared" si="61"/>
        <v>-10.583333333333336</v>
      </c>
      <c r="J272" s="271">
        <f t="shared" si="58"/>
        <v>-10.583333333333336</v>
      </c>
      <c r="L272" s="194">
        <f t="shared" si="60"/>
        <v>8.3333333333333339</v>
      </c>
    </row>
    <row r="273" spans="3:12">
      <c r="C273" s="191" t="s">
        <v>8</v>
      </c>
      <c r="D273" s="191">
        <v>2018</v>
      </c>
      <c r="E273" s="191"/>
      <c r="F273" s="273" t="s">
        <v>175</v>
      </c>
      <c r="G273" t="s">
        <v>154</v>
      </c>
      <c r="H273" s="193" t="s">
        <v>285</v>
      </c>
      <c r="I273" s="271">
        <f t="shared" si="61"/>
        <v>-10.583333333333336</v>
      </c>
      <c r="J273" s="271">
        <f t="shared" si="58"/>
        <v>-10.583333333333336</v>
      </c>
      <c r="L273" s="194">
        <f t="shared" ref="L273:L286" si="62">L131</f>
        <v>8.3333333333333339</v>
      </c>
    </row>
    <row r="274" spans="3:12">
      <c r="C274" s="191" t="s">
        <v>8</v>
      </c>
      <c r="D274" s="191">
        <v>2019</v>
      </c>
      <c r="E274" s="191"/>
      <c r="F274" s="273" t="s">
        <v>175</v>
      </c>
      <c r="G274" t="s">
        <v>154</v>
      </c>
      <c r="H274" s="193" t="s">
        <v>285</v>
      </c>
      <c r="I274" s="271">
        <f t="shared" si="61"/>
        <v>0</v>
      </c>
      <c r="J274" s="271">
        <f t="shared" si="58"/>
        <v>0</v>
      </c>
      <c r="L274" s="194">
        <f t="shared" si="62"/>
        <v>0</v>
      </c>
    </row>
    <row r="275" spans="3:12">
      <c r="C275" s="191" t="s">
        <v>8</v>
      </c>
      <c r="D275" s="191">
        <v>2010</v>
      </c>
      <c r="E275" s="191"/>
      <c r="F275" s="193" t="s">
        <v>177</v>
      </c>
      <c r="G275" t="s">
        <v>154</v>
      </c>
      <c r="H275" s="193" t="s">
        <v>285</v>
      </c>
      <c r="I275" s="271">
        <f t="shared" si="61"/>
        <v>-13.143750000000001</v>
      </c>
      <c r="J275" s="271">
        <f t="shared" si="58"/>
        <v>-13.143750000000001</v>
      </c>
      <c r="L275" s="194">
        <f t="shared" si="62"/>
        <v>10.583333333333336</v>
      </c>
    </row>
    <row r="276" spans="3:12">
      <c r="C276" s="191" t="s">
        <v>8</v>
      </c>
      <c r="D276" s="191">
        <v>2018</v>
      </c>
      <c r="E276" s="191"/>
      <c r="F276" s="193" t="s">
        <v>177</v>
      </c>
      <c r="G276" t="s">
        <v>154</v>
      </c>
      <c r="H276" s="193" t="s">
        <v>285</v>
      </c>
      <c r="I276" s="271">
        <f t="shared" si="61"/>
        <v>-13.143750000000001</v>
      </c>
      <c r="J276" s="271">
        <f t="shared" si="58"/>
        <v>-13.143750000000001</v>
      </c>
      <c r="L276" s="194">
        <f t="shared" si="62"/>
        <v>10.583333333333336</v>
      </c>
    </row>
    <row r="277" spans="3:12">
      <c r="C277" s="191" t="s">
        <v>8</v>
      </c>
      <c r="D277" s="191">
        <v>2019</v>
      </c>
      <c r="E277" s="191"/>
      <c r="F277" s="193" t="s">
        <v>177</v>
      </c>
      <c r="G277" t="s">
        <v>154</v>
      </c>
      <c r="H277" s="193" t="s">
        <v>285</v>
      </c>
      <c r="I277" s="271">
        <f t="shared" si="61"/>
        <v>0</v>
      </c>
      <c r="J277" s="271">
        <f t="shared" si="58"/>
        <v>0</v>
      </c>
      <c r="L277" s="194">
        <f t="shared" si="62"/>
        <v>0</v>
      </c>
    </row>
    <row r="278" spans="3:12">
      <c r="C278" s="191" t="s">
        <v>8</v>
      </c>
      <c r="D278" s="191">
        <v>2010</v>
      </c>
      <c r="E278" s="191"/>
      <c r="F278" s="193" t="s">
        <v>179</v>
      </c>
      <c r="G278" t="s">
        <v>154</v>
      </c>
      <c r="H278" s="193" t="s">
        <v>285</v>
      </c>
      <c r="I278" s="271">
        <f t="shared" si="61"/>
        <v>-6.2787499999999996</v>
      </c>
      <c r="J278" s="271">
        <f t="shared" si="58"/>
        <v>-6.2787499999999996</v>
      </c>
      <c r="L278" s="194">
        <f t="shared" si="62"/>
        <v>13.143750000000001</v>
      </c>
    </row>
    <row r="279" spans="3:12">
      <c r="C279" s="191" t="s">
        <v>8</v>
      </c>
      <c r="D279" s="191">
        <v>2018</v>
      </c>
      <c r="E279" s="191"/>
      <c r="F279" s="193" t="s">
        <v>179</v>
      </c>
      <c r="G279" t="s">
        <v>154</v>
      </c>
      <c r="H279" s="193" t="s">
        <v>285</v>
      </c>
      <c r="I279" s="271">
        <f t="shared" si="61"/>
        <v>-6.2787499999999996</v>
      </c>
      <c r="J279" s="271">
        <f t="shared" si="58"/>
        <v>-6.2787499999999996</v>
      </c>
      <c r="L279" s="194">
        <f t="shared" si="62"/>
        <v>13.143750000000001</v>
      </c>
    </row>
    <row r="280" spans="3:12">
      <c r="C280" s="191" t="s">
        <v>8</v>
      </c>
      <c r="D280" s="191">
        <v>2019</v>
      </c>
      <c r="E280" s="191"/>
      <c r="F280" s="193" t="s">
        <v>179</v>
      </c>
      <c r="G280" t="s">
        <v>154</v>
      </c>
      <c r="H280" s="193" t="s">
        <v>285</v>
      </c>
      <c r="I280" s="271">
        <f t="shared" si="61"/>
        <v>0</v>
      </c>
      <c r="J280" s="271">
        <f t="shared" si="58"/>
        <v>0</v>
      </c>
      <c r="L280" s="194">
        <f t="shared" si="62"/>
        <v>0</v>
      </c>
    </row>
    <row r="281" spans="3:12">
      <c r="C281" s="191" t="s">
        <v>8</v>
      </c>
      <c r="D281" s="191">
        <v>2010</v>
      </c>
      <c r="E281" s="191"/>
      <c r="F281" s="193" t="s">
        <v>180</v>
      </c>
      <c r="G281" t="s">
        <v>154</v>
      </c>
      <c r="H281" s="193" t="s">
        <v>285</v>
      </c>
      <c r="I281" s="271">
        <f t="shared" si="61"/>
        <v>-6.3520833333333337</v>
      </c>
      <c r="J281" s="271">
        <f t="shared" si="58"/>
        <v>-6.3520833333333337</v>
      </c>
      <c r="L281" s="194">
        <f t="shared" si="62"/>
        <v>6.2787499999999996</v>
      </c>
    </row>
    <row r="282" spans="3:12">
      <c r="C282" s="191" t="s">
        <v>8</v>
      </c>
      <c r="D282" s="191">
        <v>2018</v>
      </c>
      <c r="E282" s="191"/>
      <c r="F282" s="193" t="s">
        <v>180</v>
      </c>
      <c r="G282" t="s">
        <v>154</v>
      </c>
      <c r="H282" s="193" t="s">
        <v>285</v>
      </c>
      <c r="I282" s="271">
        <f t="shared" si="61"/>
        <v>-6.3520833333333337</v>
      </c>
      <c r="J282" s="271">
        <f t="shared" si="58"/>
        <v>-6.3520833333333337</v>
      </c>
      <c r="L282" s="194">
        <f t="shared" si="62"/>
        <v>6.2787499999999996</v>
      </c>
    </row>
    <row r="283" spans="3:12">
      <c r="C283" s="191" t="s">
        <v>8</v>
      </c>
      <c r="D283" s="191">
        <v>2019</v>
      </c>
      <c r="E283" s="191"/>
      <c r="F283" s="193" t="s">
        <v>180</v>
      </c>
      <c r="G283" t="s">
        <v>154</v>
      </c>
      <c r="H283" s="193" t="s">
        <v>285</v>
      </c>
      <c r="I283" s="271">
        <f t="shared" si="61"/>
        <v>0</v>
      </c>
      <c r="J283" s="271">
        <f t="shared" si="58"/>
        <v>0</v>
      </c>
      <c r="L283" s="194">
        <f t="shared" si="62"/>
        <v>0</v>
      </c>
    </row>
    <row r="284" spans="3:12">
      <c r="C284" s="191" t="s">
        <v>8</v>
      </c>
      <c r="D284" s="191">
        <v>2010</v>
      </c>
      <c r="E284" s="191"/>
      <c r="F284" s="193" t="s">
        <v>425</v>
      </c>
      <c r="G284" t="s">
        <v>154</v>
      </c>
      <c r="H284" s="193" t="s">
        <v>285</v>
      </c>
      <c r="I284" s="271">
        <f t="shared" ref="I284:I292" si="63">L146*-1</f>
        <v>-4.4133333333333331</v>
      </c>
      <c r="J284" s="271">
        <f t="shared" si="58"/>
        <v>-4.4133333333333331</v>
      </c>
      <c r="L284" s="194">
        <f t="shared" si="62"/>
        <v>6.3520833333333337</v>
      </c>
    </row>
    <row r="285" spans="3:12">
      <c r="C285" s="191" t="s">
        <v>8</v>
      </c>
      <c r="D285" s="191">
        <v>2018</v>
      </c>
      <c r="E285" s="191"/>
      <c r="F285" s="193" t="s">
        <v>425</v>
      </c>
      <c r="G285" t="s">
        <v>154</v>
      </c>
      <c r="H285" s="193" t="s">
        <v>285</v>
      </c>
      <c r="I285" s="271">
        <f t="shared" si="63"/>
        <v>-4.4133333333333331</v>
      </c>
      <c r="J285" s="271">
        <f t="shared" si="58"/>
        <v>-4.4133333333333331</v>
      </c>
      <c r="L285" s="194">
        <f t="shared" si="62"/>
        <v>6.3520833333333337</v>
      </c>
    </row>
    <row r="286" spans="3:12">
      <c r="C286" s="191" t="s">
        <v>8</v>
      </c>
      <c r="D286" s="191">
        <v>2019</v>
      </c>
      <c r="E286" s="191"/>
      <c r="F286" s="193" t="s">
        <v>425</v>
      </c>
      <c r="G286" t="s">
        <v>154</v>
      </c>
      <c r="H286" s="193" t="s">
        <v>285</v>
      </c>
      <c r="I286" s="271">
        <f t="shared" si="63"/>
        <v>0</v>
      </c>
      <c r="J286" s="271">
        <f t="shared" si="58"/>
        <v>0</v>
      </c>
      <c r="L286" s="194">
        <f t="shared" si="62"/>
        <v>0</v>
      </c>
    </row>
    <row r="287" spans="3:12">
      <c r="C287" s="191" t="s">
        <v>8</v>
      </c>
      <c r="D287" s="191">
        <v>2010</v>
      </c>
      <c r="E287" s="191"/>
      <c r="F287" s="193" t="s">
        <v>182</v>
      </c>
      <c r="G287" t="s">
        <v>154</v>
      </c>
      <c r="H287" s="193" t="s">
        <v>285</v>
      </c>
      <c r="I287" s="271">
        <f t="shared" si="63"/>
        <v>-7.3033333333333337</v>
      </c>
      <c r="J287" s="271">
        <f t="shared" ref="J287:J292" si="64">I287</f>
        <v>-7.3033333333333337</v>
      </c>
      <c r="L287" s="194" t="e">
        <f>#REF!</f>
        <v>#REF!</v>
      </c>
    </row>
    <row r="288" spans="3:12">
      <c r="C288" s="191" t="s">
        <v>8</v>
      </c>
      <c r="D288" s="191">
        <v>2018</v>
      </c>
      <c r="E288" s="191"/>
      <c r="F288" s="193" t="s">
        <v>182</v>
      </c>
      <c r="G288" t="s">
        <v>154</v>
      </c>
      <c r="H288" s="193" t="s">
        <v>285</v>
      </c>
      <c r="I288" s="271">
        <f t="shared" si="63"/>
        <v>-7.3033333333333337</v>
      </c>
      <c r="J288" s="271">
        <f t="shared" si="64"/>
        <v>-7.3033333333333337</v>
      </c>
      <c r="L288" s="194" t="e">
        <f>#REF!</f>
        <v>#REF!</v>
      </c>
    </row>
    <row r="289" spans="2:12">
      <c r="C289" s="191" t="s">
        <v>8</v>
      </c>
      <c r="D289" s="191">
        <v>2019</v>
      </c>
      <c r="E289" s="191"/>
      <c r="F289" s="193" t="s">
        <v>182</v>
      </c>
      <c r="G289" t="s">
        <v>154</v>
      </c>
      <c r="H289" s="193" t="s">
        <v>285</v>
      </c>
      <c r="I289" s="271">
        <f t="shared" si="63"/>
        <v>0</v>
      </c>
      <c r="J289" s="271">
        <f t="shared" si="64"/>
        <v>0</v>
      </c>
      <c r="L289" s="194" t="e">
        <f>#REF!</f>
        <v>#REF!</v>
      </c>
    </row>
    <row r="290" spans="2:12">
      <c r="C290" s="191" t="s">
        <v>8</v>
      </c>
      <c r="D290" s="191">
        <v>2010</v>
      </c>
      <c r="E290" s="191"/>
      <c r="F290" s="193" t="s">
        <v>183</v>
      </c>
      <c r="G290" t="s">
        <v>154</v>
      </c>
      <c r="H290" s="193" t="s">
        <v>285</v>
      </c>
      <c r="I290" s="271">
        <f t="shared" si="63"/>
        <v>-7.2312500000000002</v>
      </c>
      <c r="J290" s="271">
        <f t="shared" si="64"/>
        <v>-7.2312500000000002</v>
      </c>
      <c r="L290" s="194">
        <f t="shared" ref="L290:L298" si="65">L146</f>
        <v>4.4133333333333331</v>
      </c>
    </row>
    <row r="291" spans="2:12">
      <c r="C291" s="191" t="s">
        <v>8</v>
      </c>
      <c r="D291" s="191">
        <v>2018</v>
      </c>
      <c r="E291" s="191"/>
      <c r="F291" s="193" t="s">
        <v>183</v>
      </c>
      <c r="G291" t="s">
        <v>154</v>
      </c>
      <c r="H291" s="193" t="s">
        <v>285</v>
      </c>
      <c r="I291" s="271">
        <f t="shared" si="63"/>
        <v>-7.2312500000000002</v>
      </c>
      <c r="J291" s="271">
        <f t="shared" si="64"/>
        <v>-7.2312500000000002</v>
      </c>
      <c r="L291" s="194">
        <f t="shared" si="65"/>
        <v>4.4133333333333331</v>
      </c>
    </row>
    <row r="292" spans="2:12">
      <c r="C292" s="191" t="s">
        <v>8</v>
      </c>
      <c r="D292" s="191">
        <v>2019</v>
      </c>
      <c r="E292" s="191"/>
      <c r="F292" s="193" t="s">
        <v>183</v>
      </c>
      <c r="G292" t="s">
        <v>154</v>
      </c>
      <c r="H292" s="193" t="s">
        <v>285</v>
      </c>
      <c r="I292" s="271">
        <f t="shared" si="63"/>
        <v>0</v>
      </c>
      <c r="J292" s="271">
        <f t="shared" si="64"/>
        <v>0</v>
      </c>
      <c r="L292" s="194">
        <f t="shared" si="65"/>
        <v>0</v>
      </c>
    </row>
    <row r="293" spans="2:12">
      <c r="D293" s="49"/>
      <c r="L293" s="194">
        <f t="shared" si="65"/>
        <v>7.3033333333333337</v>
      </c>
    </row>
    <row r="294" spans="2:12">
      <c r="D294" s="49"/>
      <c r="L294" s="194">
        <f t="shared" si="65"/>
        <v>7.3033333333333337</v>
      </c>
    </row>
    <row r="295" spans="2:12">
      <c r="D295" s="49"/>
      <c r="L295" s="194">
        <f t="shared" si="65"/>
        <v>0</v>
      </c>
    </row>
    <row r="296" spans="2:12">
      <c r="D296" s="49"/>
      <c r="L296" s="194">
        <f t="shared" si="65"/>
        <v>7.2312500000000002</v>
      </c>
    </row>
    <row r="297" spans="2:12" ht="14.4">
      <c r="B297" s="261"/>
      <c r="C297" s="264"/>
      <c r="D297" s="264"/>
      <c r="E297" s="264"/>
      <c r="F297" s="264"/>
      <c r="G297" s="264"/>
      <c r="H297" s="264"/>
      <c r="L297" s="194">
        <f t="shared" si="65"/>
        <v>7.2312500000000002</v>
      </c>
    </row>
    <row r="298" spans="2:12" ht="13.8" thickBot="1">
      <c r="B298" s="265" t="s">
        <v>4</v>
      </c>
      <c r="C298" s="265" t="s">
        <v>5</v>
      </c>
      <c r="D298" s="265" t="s">
        <v>1</v>
      </c>
      <c r="E298" s="266" t="s">
        <v>46</v>
      </c>
      <c r="F298" s="266" t="s">
        <v>7</v>
      </c>
      <c r="G298" s="267" t="s">
        <v>6</v>
      </c>
      <c r="H298" s="268" t="s">
        <v>43</v>
      </c>
      <c r="I298" s="268" t="s">
        <v>432</v>
      </c>
      <c r="J298" s="268" t="s">
        <v>433</v>
      </c>
      <c r="L298" s="194">
        <f t="shared" si="65"/>
        <v>0</v>
      </c>
    </row>
    <row r="299" spans="2:12">
      <c r="C299" s="191" t="s">
        <v>8</v>
      </c>
      <c r="D299" s="191">
        <v>2010</v>
      </c>
      <c r="E299" s="191" t="s">
        <v>49</v>
      </c>
      <c r="F299" s="193" t="s">
        <v>402</v>
      </c>
      <c r="G299" s="193" t="s">
        <v>426</v>
      </c>
      <c r="H299" s="193" t="s">
        <v>285</v>
      </c>
      <c r="I299" s="271">
        <f>L161*-1</f>
        <v>-15</v>
      </c>
      <c r="J299" s="271">
        <f>I299</f>
        <v>-15</v>
      </c>
    </row>
    <row r="300" spans="2:12">
      <c r="C300" s="191" t="s">
        <v>8</v>
      </c>
      <c r="D300" s="191">
        <v>2018</v>
      </c>
      <c r="E300" s="191" t="s">
        <v>49</v>
      </c>
      <c r="F300" s="193" t="s">
        <v>402</v>
      </c>
      <c r="G300" s="193" t="s">
        <v>426</v>
      </c>
      <c r="H300" s="193" t="s">
        <v>285</v>
      </c>
      <c r="I300" s="271">
        <f t="shared" ref="I300:I363" si="66">L162*-1</f>
        <v>-15</v>
      </c>
      <c r="J300" s="271">
        <f t="shared" ref="J300:J363" si="67">I300</f>
        <v>-15</v>
      </c>
    </row>
    <row r="301" spans="2:12">
      <c r="C301" s="191" t="s">
        <v>8</v>
      </c>
      <c r="D301" s="191">
        <v>2019</v>
      </c>
      <c r="E301" s="191" t="s">
        <v>49</v>
      </c>
      <c r="F301" s="193" t="s">
        <v>402</v>
      </c>
      <c r="G301" s="193" t="s">
        <v>426</v>
      </c>
      <c r="H301" s="193" t="s">
        <v>285</v>
      </c>
      <c r="I301" s="271">
        <f t="shared" si="66"/>
        <v>0</v>
      </c>
      <c r="J301" s="271">
        <f t="shared" si="67"/>
        <v>0</v>
      </c>
    </row>
    <row r="302" spans="2:12">
      <c r="C302" s="191" t="s">
        <v>8</v>
      </c>
      <c r="D302" s="191">
        <v>2010</v>
      </c>
      <c r="E302" s="191" t="s">
        <v>49</v>
      </c>
      <c r="F302" s="193" t="s">
        <v>404</v>
      </c>
      <c r="G302" s="193" t="s">
        <v>426</v>
      </c>
      <c r="H302" s="193" t="s">
        <v>285</v>
      </c>
      <c r="I302" s="271">
        <f t="shared" si="66"/>
        <v>-12.083333333333332</v>
      </c>
      <c r="J302" s="271">
        <f t="shared" si="67"/>
        <v>-12.083333333333332</v>
      </c>
    </row>
    <row r="303" spans="2:12">
      <c r="C303" s="191" t="s">
        <v>8</v>
      </c>
      <c r="D303" s="191">
        <v>2018</v>
      </c>
      <c r="E303" s="191" t="s">
        <v>49</v>
      </c>
      <c r="F303" s="193" t="s">
        <v>404</v>
      </c>
      <c r="G303" s="193" t="s">
        <v>426</v>
      </c>
      <c r="H303" s="193" t="s">
        <v>285</v>
      </c>
      <c r="I303" s="271">
        <f t="shared" si="66"/>
        <v>-12.083333333333332</v>
      </c>
      <c r="J303" s="271">
        <f t="shared" si="67"/>
        <v>-12.083333333333332</v>
      </c>
    </row>
    <row r="304" spans="2:12" ht="13.8" thickBot="1">
      <c r="C304" s="191" t="s">
        <v>8</v>
      </c>
      <c r="D304" s="191">
        <v>2019</v>
      </c>
      <c r="E304" s="191" t="s">
        <v>49</v>
      </c>
      <c r="F304" s="193" t="s">
        <v>404</v>
      </c>
      <c r="G304" s="193" t="s">
        <v>426</v>
      </c>
      <c r="H304" s="193" t="s">
        <v>285</v>
      </c>
      <c r="I304" s="271">
        <f t="shared" si="66"/>
        <v>0</v>
      </c>
      <c r="J304" s="271">
        <f t="shared" si="67"/>
        <v>0</v>
      </c>
      <c r="K304" s="268"/>
    </row>
    <row r="305" spans="3:12">
      <c r="C305" s="191" t="s">
        <v>8</v>
      </c>
      <c r="D305" s="191">
        <v>2010</v>
      </c>
      <c r="E305" s="191" t="s">
        <v>49</v>
      </c>
      <c r="F305" s="193" t="s">
        <v>406</v>
      </c>
      <c r="G305" s="193" t="s">
        <v>426</v>
      </c>
      <c r="H305" s="193" t="s">
        <v>285</v>
      </c>
      <c r="I305" s="271">
        <f t="shared" si="66"/>
        <v>-12.083333333333332</v>
      </c>
      <c r="J305" s="271">
        <f t="shared" si="67"/>
        <v>-12.083333333333332</v>
      </c>
      <c r="L305" s="194">
        <f t="shared" ref="L305:L368" si="68">L161</f>
        <v>15</v>
      </c>
    </row>
    <row r="306" spans="3:12">
      <c r="C306" s="191" t="s">
        <v>8</v>
      </c>
      <c r="D306" s="191">
        <v>2018</v>
      </c>
      <c r="E306" s="191" t="s">
        <v>49</v>
      </c>
      <c r="F306" s="193" t="s">
        <v>406</v>
      </c>
      <c r="G306" s="193" t="s">
        <v>426</v>
      </c>
      <c r="H306" s="193" t="s">
        <v>285</v>
      </c>
      <c r="I306" s="271">
        <f t="shared" si="66"/>
        <v>-12.083333333333332</v>
      </c>
      <c r="J306" s="271">
        <f t="shared" si="67"/>
        <v>-12.083333333333332</v>
      </c>
      <c r="L306" s="194">
        <f t="shared" si="68"/>
        <v>15</v>
      </c>
    </row>
    <row r="307" spans="3:12">
      <c r="C307" s="191" t="s">
        <v>8</v>
      </c>
      <c r="D307" s="191">
        <v>2019</v>
      </c>
      <c r="E307" s="191" t="s">
        <v>49</v>
      </c>
      <c r="F307" s="193" t="s">
        <v>406</v>
      </c>
      <c r="G307" s="193" t="s">
        <v>426</v>
      </c>
      <c r="H307" s="193" t="s">
        <v>285</v>
      </c>
      <c r="I307" s="271">
        <f t="shared" si="66"/>
        <v>0</v>
      </c>
      <c r="J307" s="271">
        <f t="shared" si="67"/>
        <v>0</v>
      </c>
      <c r="L307" s="194">
        <f t="shared" si="68"/>
        <v>0</v>
      </c>
    </row>
    <row r="308" spans="3:12">
      <c r="C308" s="191" t="s">
        <v>8</v>
      </c>
      <c r="D308" s="191">
        <v>2010</v>
      </c>
      <c r="E308" s="191" t="s">
        <v>49</v>
      </c>
      <c r="F308" s="193" t="s">
        <v>407</v>
      </c>
      <c r="G308" s="193" t="s">
        <v>426</v>
      </c>
      <c r="H308" s="193" t="s">
        <v>285</v>
      </c>
      <c r="I308" s="271">
        <f t="shared" si="66"/>
        <v>-12.291666666666668</v>
      </c>
      <c r="J308" s="271">
        <f t="shared" si="67"/>
        <v>-12.291666666666668</v>
      </c>
      <c r="L308" s="194">
        <f t="shared" si="68"/>
        <v>12.083333333333332</v>
      </c>
    </row>
    <row r="309" spans="3:12">
      <c r="C309" s="191" t="s">
        <v>8</v>
      </c>
      <c r="D309" s="191">
        <v>2018</v>
      </c>
      <c r="E309" s="191" t="s">
        <v>49</v>
      </c>
      <c r="F309" s="193" t="s">
        <v>407</v>
      </c>
      <c r="G309" s="193" t="s">
        <v>426</v>
      </c>
      <c r="H309" s="193" t="s">
        <v>285</v>
      </c>
      <c r="I309" s="271">
        <f t="shared" si="66"/>
        <v>-12.291666666666668</v>
      </c>
      <c r="J309" s="271">
        <f t="shared" si="67"/>
        <v>-12.291666666666668</v>
      </c>
      <c r="L309" s="194">
        <f t="shared" si="68"/>
        <v>12.083333333333332</v>
      </c>
    </row>
    <row r="310" spans="3:12">
      <c r="C310" s="191" t="s">
        <v>8</v>
      </c>
      <c r="D310" s="191">
        <v>2019</v>
      </c>
      <c r="E310" s="191" t="s">
        <v>49</v>
      </c>
      <c r="F310" s="193" t="s">
        <v>407</v>
      </c>
      <c r="G310" s="193" t="s">
        <v>426</v>
      </c>
      <c r="H310" s="193" t="s">
        <v>285</v>
      </c>
      <c r="I310" s="271">
        <f t="shared" si="66"/>
        <v>0</v>
      </c>
      <c r="J310" s="271">
        <f t="shared" si="67"/>
        <v>0</v>
      </c>
      <c r="L310" s="194">
        <f t="shared" si="68"/>
        <v>0</v>
      </c>
    </row>
    <row r="311" spans="3:12">
      <c r="C311" s="191" t="s">
        <v>8</v>
      </c>
      <c r="D311" s="191">
        <v>2010</v>
      </c>
      <c r="E311" s="191" t="s">
        <v>49</v>
      </c>
      <c r="F311" s="193" t="s">
        <v>407</v>
      </c>
      <c r="G311" s="193" t="s">
        <v>426</v>
      </c>
      <c r="H311" s="193" t="s">
        <v>285</v>
      </c>
      <c r="I311" s="271">
        <f t="shared" si="66"/>
        <v>-12.291666666666668</v>
      </c>
      <c r="J311" s="271">
        <f t="shared" si="67"/>
        <v>-12.291666666666668</v>
      </c>
      <c r="L311" s="194">
        <f t="shared" si="68"/>
        <v>12.083333333333332</v>
      </c>
    </row>
    <row r="312" spans="3:12">
      <c r="C312" s="191" t="s">
        <v>8</v>
      </c>
      <c r="D312" s="191">
        <v>2018</v>
      </c>
      <c r="E312" s="191" t="s">
        <v>49</v>
      </c>
      <c r="F312" s="193" t="s">
        <v>407</v>
      </c>
      <c r="G312" s="193" t="s">
        <v>426</v>
      </c>
      <c r="H312" s="193" t="s">
        <v>285</v>
      </c>
      <c r="I312" s="271">
        <f t="shared" si="66"/>
        <v>-12.291666666666668</v>
      </c>
      <c r="J312" s="271">
        <f t="shared" si="67"/>
        <v>-12.291666666666668</v>
      </c>
      <c r="L312" s="194">
        <f t="shared" si="68"/>
        <v>12.083333333333332</v>
      </c>
    </row>
    <row r="313" spans="3:12">
      <c r="C313" s="191" t="s">
        <v>8</v>
      </c>
      <c r="D313" s="191">
        <v>2019</v>
      </c>
      <c r="E313" s="191" t="s">
        <v>49</v>
      </c>
      <c r="F313" s="193" t="s">
        <v>407</v>
      </c>
      <c r="G313" s="193" t="s">
        <v>426</v>
      </c>
      <c r="H313" s="193" t="s">
        <v>285</v>
      </c>
      <c r="I313" s="271">
        <f t="shared" si="66"/>
        <v>0</v>
      </c>
      <c r="J313" s="271">
        <f t="shared" si="67"/>
        <v>0</v>
      </c>
      <c r="L313" s="194">
        <f t="shared" si="68"/>
        <v>0</v>
      </c>
    </row>
    <row r="314" spans="3:12">
      <c r="C314" s="191" t="s">
        <v>8</v>
      </c>
      <c r="D314" s="191">
        <v>2010</v>
      </c>
      <c r="E314" s="191" t="s">
        <v>49</v>
      </c>
      <c r="F314" s="193" t="s">
        <v>408</v>
      </c>
      <c r="G314" s="193" t="s">
        <v>426</v>
      </c>
      <c r="H314" s="193" t="s">
        <v>285</v>
      </c>
      <c r="I314" s="271">
        <f t="shared" si="66"/>
        <v>-12.083333333333332</v>
      </c>
      <c r="J314" s="271">
        <f t="shared" si="67"/>
        <v>-12.083333333333332</v>
      </c>
      <c r="L314" s="194">
        <f t="shared" si="68"/>
        <v>12.291666666666668</v>
      </c>
    </row>
    <row r="315" spans="3:12">
      <c r="C315" s="191" t="s">
        <v>8</v>
      </c>
      <c r="D315" s="191">
        <v>2018</v>
      </c>
      <c r="E315" s="191" t="s">
        <v>49</v>
      </c>
      <c r="F315" s="193" t="s">
        <v>408</v>
      </c>
      <c r="G315" s="193" t="s">
        <v>426</v>
      </c>
      <c r="H315" s="193" t="s">
        <v>285</v>
      </c>
      <c r="I315" s="271">
        <f t="shared" si="66"/>
        <v>-12.083333333333332</v>
      </c>
      <c r="J315" s="271">
        <f t="shared" si="67"/>
        <v>-12.083333333333332</v>
      </c>
      <c r="L315" s="194">
        <f t="shared" si="68"/>
        <v>12.291666666666668</v>
      </c>
    </row>
    <row r="316" spans="3:12">
      <c r="C316" s="191" t="s">
        <v>8</v>
      </c>
      <c r="D316" s="191">
        <v>2019</v>
      </c>
      <c r="E316" s="191" t="s">
        <v>49</v>
      </c>
      <c r="F316" s="193" t="s">
        <v>408</v>
      </c>
      <c r="G316" s="193" t="s">
        <v>426</v>
      </c>
      <c r="H316" s="193" t="s">
        <v>285</v>
      </c>
      <c r="I316" s="271">
        <f t="shared" si="66"/>
        <v>0</v>
      </c>
      <c r="J316" s="271">
        <f t="shared" si="67"/>
        <v>0</v>
      </c>
      <c r="L316" s="194">
        <f t="shared" si="68"/>
        <v>0</v>
      </c>
    </row>
    <row r="317" spans="3:12">
      <c r="C317" s="191" t="s">
        <v>8</v>
      </c>
      <c r="D317" s="191">
        <v>2010</v>
      </c>
      <c r="E317" s="191" t="s">
        <v>49</v>
      </c>
      <c r="F317" s="193" t="s">
        <v>409</v>
      </c>
      <c r="G317" s="193" t="s">
        <v>426</v>
      </c>
      <c r="H317" s="193" t="s">
        <v>285</v>
      </c>
      <c r="I317" s="271">
        <f t="shared" si="66"/>
        <v>-10.416666666666668</v>
      </c>
      <c r="J317" s="271">
        <f t="shared" si="67"/>
        <v>-10.416666666666668</v>
      </c>
      <c r="L317" s="194">
        <f t="shared" si="68"/>
        <v>12.291666666666668</v>
      </c>
    </row>
    <row r="318" spans="3:12">
      <c r="C318" s="191" t="s">
        <v>8</v>
      </c>
      <c r="D318" s="191">
        <v>2018</v>
      </c>
      <c r="E318" s="191" t="s">
        <v>49</v>
      </c>
      <c r="F318" s="193" t="s">
        <v>409</v>
      </c>
      <c r="G318" s="193" t="s">
        <v>426</v>
      </c>
      <c r="H318" s="193" t="s">
        <v>285</v>
      </c>
      <c r="I318" s="271">
        <f t="shared" si="66"/>
        <v>-10.416666666666668</v>
      </c>
      <c r="J318" s="271">
        <f t="shared" si="67"/>
        <v>-10.416666666666668</v>
      </c>
      <c r="L318" s="194">
        <f t="shared" si="68"/>
        <v>12.291666666666668</v>
      </c>
    </row>
    <row r="319" spans="3:12">
      <c r="C319" s="191" t="s">
        <v>8</v>
      </c>
      <c r="D319" s="191">
        <v>2019</v>
      </c>
      <c r="E319" s="191" t="s">
        <v>49</v>
      </c>
      <c r="F319" s="193" t="s">
        <v>409</v>
      </c>
      <c r="G319" s="193" t="s">
        <v>426</v>
      </c>
      <c r="H319" s="193" t="s">
        <v>285</v>
      </c>
      <c r="I319" s="271">
        <f t="shared" si="66"/>
        <v>0</v>
      </c>
      <c r="J319" s="271">
        <f t="shared" si="67"/>
        <v>0</v>
      </c>
      <c r="L319" s="194">
        <f t="shared" si="68"/>
        <v>0</v>
      </c>
    </row>
    <row r="320" spans="3:12">
      <c r="C320" s="191" t="s">
        <v>8</v>
      </c>
      <c r="D320" s="191">
        <v>2010</v>
      </c>
      <c r="E320" s="191" t="s">
        <v>49</v>
      </c>
      <c r="F320" s="193" t="s">
        <v>410</v>
      </c>
      <c r="G320" s="193" t="s">
        <v>426</v>
      </c>
      <c r="H320" s="193" t="s">
        <v>285</v>
      </c>
      <c r="I320" s="271">
        <f t="shared" si="66"/>
        <v>-12.083333333333332</v>
      </c>
      <c r="J320" s="271">
        <f t="shared" si="67"/>
        <v>-12.083333333333332</v>
      </c>
      <c r="L320" s="194">
        <f t="shared" si="68"/>
        <v>12.083333333333332</v>
      </c>
    </row>
    <row r="321" spans="3:12">
      <c r="C321" s="191" t="s">
        <v>8</v>
      </c>
      <c r="D321" s="191">
        <v>2018</v>
      </c>
      <c r="E321" s="191" t="s">
        <v>49</v>
      </c>
      <c r="F321" s="193" t="s">
        <v>410</v>
      </c>
      <c r="G321" s="193" t="s">
        <v>426</v>
      </c>
      <c r="H321" s="193" t="s">
        <v>285</v>
      </c>
      <c r="I321" s="271">
        <f t="shared" si="66"/>
        <v>-12.083333333333332</v>
      </c>
      <c r="J321" s="271">
        <f t="shared" si="67"/>
        <v>-12.083333333333332</v>
      </c>
      <c r="L321" s="194">
        <f t="shared" si="68"/>
        <v>12.083333333333332</v>
      </c>
    </row>
    <row r="322" spans="3:12">
      <c r="C322" s="191" t="s">
        <v>8</v>
      </c>
      <c r="D322" s="191">
        <v>2019</v>
      </c>
      <c r="E322" s="191" t="s">
        <v>49</v>
      </c>
      <c r="F322" s="193" t="s">
        <v>410</v>
      </c>
      <c r="G322" s="193" t="s">
        <v>426</v>
      </c>
      <c r="H322" s="193" t="s">
        <v>285</v>
      </c>
      <c r="I322" s="271">
        <f t="shared" si="66"/>
        <v>0</v>
      </c>
      <c r="J322" s="271">
        <f t="shared" si="67"/>
        <v>0</v>
      </c>
      <c r="L322" s="194">
        <f t="shared" si="68"/>
        <v>0</v>
      </c>
    </row>
    <row r="323" spans="3:12">
      <c r="C323" s="191" t="s">
        <v>8</v>
      </c>
      <c r="D323" s="191">
        <v>2010</v>
      </c>
      <c r="E323" s="191" t="s">
        <v>49</v>
      </c>
      <c r="F323" s="193" t="s">
        <v>411</v>
      </c>
      <c r="G323" s="193" t="s">
        <v>426</v>
      </c>
      <c r="H323" s="193" t="s">
        <v>285</v>
      </c>
      <c r="I323" s="271">
        <f t="shared" si="66"/>
        <v>-12.291666666666668</v>
      </c>
      <c r="J323" s="271">
        <f t="shared" si="67"/>
        <v>-12.291666666666668</v>
      </c>
      <c r="L323" s="194">
        <f t="shared" si="68"/>
        <v>10.416666666666668</v>
      </c>
    </row>
    <row r="324" spans="3:12">
      <c r="C324" s="191" t="s">
        <v>8</v>
      </c>
      <c r="D324" s="191">
        <v>2018</v>
      </c>
      <c r="E324" s="191" t="s">
        <v>49</v>
      </c>
      <c r="F324" s="193" t="s">
        <v>411</v>
      </c>
      <c r="G324" s="193" t="s">
        <v>426</v>
      </c>
      <c r="H324" s="193" t="s">
        <v>285</v>
      </c>
      <c r="I324" s="271">
        <f t="shared" si="66"/>
        <v>-12.291666666666668</v>
      </c>
      <c r="J324" s="271">
        <f t="shared" si="67"/>
        <v>-12.291666666666668</v>
      </c>
      <c r="L324" s="194">
        <f t="shared" si="68"/>
        <v>10.416666666666668</v>
      </c>
    </row>
    <row r="325" spans="3:12">
      <c r="C325" s="191" t="s">
        <v>8</v>
      </c>
      <c r="D325" s="191">
        <v>2019</v>
      </c>
      <c r="E325" s="191" t="s">
        <v>49</v>
      </c>
      <c r="F325" s="193" t="s">
        <v>411</v>
      </c>
      <c r="G325" s="193" t="s">
        <v>426</v>
      </c>
      <c r="H325" s="193" t="s">
        <v>285</v>
      </c>
      <c r="I325" s="271">
        <f t="shared" si="66"/>
        <v>0</v>
      </c>
      <c r="J325" s="271">
        <f t="shared" si="67"/>
        <v>0</v>
      </c>
      <c r="L325" s="194">
        <f t="shared" si="68"/>
        <v>0</v>
      </c>
    </row>
    <row r="326" spans="3:12">
      <c r="C326" s="191" t="s">
        <v>8</v>
      </c>
      <c r="D326" s="191">
        <v>2010</v>
      </c>
      <c r="E326" s="191" t="s">
        <v>49</v>
      </c>
      <c r="F326" s="193" t="s">
        <v>163</v>
      </c>
      <c r="G326" s="193" t="s">
        <v>426</v>
      </c>
      <c r="H326" s="193" t="s">
        <v>285</v>
      </c>
      <c r="I326" s="271">
        <f t="shared" si="66"/>
        <v>-10.044166666666666</v>
      </c>
      <c r="J326" s="271">
        <f t="shared" si="67"/>
        <v>-10.044166666666666</v>
      </c>
      <c r="L326" s="194">
        <f t="shared" si="68"/>
        <v>12.083333333333332</v>
      </c>
    </row>
    <row r="327" spans="3:12">
      <c r="C327" s="191" t="s">
        <v>8</v>
      </c>
      <c r="D327" s="191">
        <v>2018</v>
      </c>
      <c r="E327" s="191" t="s">
        <v>49</v>
      </c>
      <c r="F327" s="193" t="s">
        <v>163</v>
      </c>
      <c r="G327" s="193" t="s">
        <v>426</v>
      </c>
      <c r="H327" s="193" t="s">
        <v>285</v>
      </c>
      <c r="I327" s="271">
        <f t="shared" si="66"/>
        <v>-10.044166666666666</v>
      </c>
      <c r="J327" s="271">
        <f t="shared" si="67"/>
        <v>-10.044166666666666</v>
      </c>
      <c r="L327" s="194">
        <f t="shared" si="68"/>
        <v>12.083333333333332</v>
      </c>
    </row>
    <row r="328" spans="3:12">
      <c r="C328" s="191" t="s">
        <v>8</v>
      </c>
      <c r="D328" s="191">
        <v>2019</v>
      </c>
      <c r="E328" s="191" t="s">
        <v>49</v>
      </c>
      <c r="F328" s="193" t="s">
        <v>163</v>
      </c>
      <c r="G328" s="193" t="s">
        <v>426</v>
      </c>
      <c r="H328" s="193" t="s">
        <v>285</v>
      </c>
      <c r="I328" s="271">
        <f t="shared" si="66"/>
        <v>0</v>
      </c>
      <c r="J328" s="271">
        <f t="shared" si="67"/>
        <v>0</v>
      </c>
      <c r="L328" s="194">
        <f t="shared" si="68"/>
        <v>0</v>
      </c>
    </row>
    <row r="329" spans="3:12">
      <c r="C329" s="191" t="s">
        <v>8</v>
      </c>
      <c r="D329" s="191">
        <v>2010</v>
      </c>
      <c r="E329" s="191" t="s">
        <v>49</v>
      </c>
      <c r="F329" s="193" t="s">
        <v>164</v>
      </c>
      <c r="G329" s="193" t="s">
        <v>426</v>
      </c>
      <c r="H329" s="193" t="s">
        <v>285</v>
      </c>
      <c r="I329" s="271">
        <f t="shared" si="66"/>
        <v>-4.8104166666666668</v>
      </c>
      <c r="J329" s="271">
        <f t="shared" si="67"/>
        <v>-4.8104166666666668</v>
      </c>
      <c r="L329" s="194">
        <f t="shared" si="68"/>
        <v>12.291666666666668</v>
      </c>
    </row>
    <row r="330" spans="3:12">
      <c r="C330" s="191" t="s">
        <v>8</v>
      </c>
      <c r="D330" s="191">
        <v>2018</v>
      </c>
      <c r="E330" s="191" t="s">
        <v>49</v>
      </c>
      <c r="F330" s="193" t="s">
        <v>164</v>
      </c>
      <c r="G330" s="193" t="s">
        <v>426</v>
      </c>
      <c r="H330" s="193" t="s">
        <v>285</v>
      </c>
      <c r="I330" s="271">
        <f t="shared" si="66"/>
        <v>-4.8104166666666668</v>
      </c>
      <c r="J330" s="271">
        <f t="shared" si="67"/>
        <v>-4.8104166666666668</v>
      </c>
      <c r="L330" s="194">
        <f t="shared" si="68"/>
        <v>12.291666666666668</v>
      </c>
    </row>
    <row r="331" spans="3:12">
      <c r="C331" s="191" t="s">
        <v>8</v>
      </c>
      <c r="D331" s="191">
        <v>2019</v>
      </c>
      <c r="E331" s="191" t="s">
        <v>49</v>
      </c>
      <c r="F331" s="193" t="s">
        <v>164</v>
      </c>
      <c r="G331" s="193" t="s">
        <v>426</v>
      </c>
      <c r="H331" s="193" t="s">
        <v>285</v>
      </c>
      <c r="I331" s="271">
        <f t="shared" si="66"/>
        <v>0</v>
      </c>
      <c r="J331" s="271">
        <f t="shared" si="67"/>
        <v>0</v>
      </c>
      <c r="L331" s="194">
        <f t="shared" si="68"/>
        <v>0</v>
      </c>
    </row>
    <row r="332" spans="3:12">
      <c r="C332" s="191" t="s">
        <v>8</v>
      </c>
      <c r="D332" s="191">
        <v>2010</v>
      </c>
      <c r="E332" s="191" t="s">
        <v>49</v>
      </c>
      <c r="F332" s="193" t="s">
        <v>412</v>
      </c>
      <c r="G332" s="193" t="s">
        <v>426</v>
      </c>
      <c r="H332" s="193" t="s">
        <v>285</v>
      </c>
      <c r="I332" s="271">
        <f t="shared" si="66"/>
        <v>-7.7083333333333339</v>
      </c>
      <c r="J332" s="271">
        <f t="shared" si="67"/>
        <v>-7.7083333333333339</v>
      </c>
      <c r="L332" s="194">
        <f t="shared" si="68"/>
        <v>10.044166666666666</v>
      </c>
    </row>
    <row r="333" spans="3:12">
      <c r="C333" s="191" t="s">
        <v>8</v>
      </c>
      <c r="D333" s="191">
        <v>2018</v>
      </c>
      <c r="E333" s="191" t="s">
        <v>49</v>
      </c>
      <c r="F333" s="193" t="s">
        <v>412</v>
      </c>
      <c r="G333" s="193" t="s">
        <v>426</v>
      </c>
      <c r="H333" s="193" t="s">
        <v>285</v>
      </c>
      <c r="I333" s="271">
        <f t="shared" si="66"/>
        <v>-7.7083333333333339</v>
      </c>
      <c r="J333" s="271">
        <f t="shared" si="67"/>
        <v>-7.7083333333333339</v>
      </c>
      <c r="L333" s="194">
        <f t="shared" si="68"/>
        <v>10.044166666666666</v>
      </c>
    </row>
    <row r="334" spans="3:12">
      <c r="C334" s="191" t="s">
        <v>8</v>
      </c>
      <c r="D334" s="191">
        <v>2019</v>
      </c>
      <c r="E334" s="191" t="s">
        <v>49</v>
      </c>
      <c r="F334" s="193" t="s">
        <v>412</v>
      </c>
      <c r="G334" s="193" t="s">
        <v>426</v>
      </c>
      <c r="H334" s="193" t="s">
        <v>285</v>
      </c>
      <c r="I334" s="271">
        <f t="shared" si="66"/>
        <v>0</v>
      </c>
      <c r="J334" s="271">
        <f t="shared" si="67"/>
        <v>0</v>
      </c>
      <c r="L334" s="194">
        <f t="shared" si="68"/>
        <v>0</v>
      </c>
    </row>
    <row r="335" spans="3:12">
      <c r="C335" s="191" t="s">
        <v>8</v>
      </c>
      <c r="D335" s="191">
        <v>2010</v>
      </c>
      <c r="E335" s="191" t="s">
        <v>49</v>
      </c>
      <c r="F335" s="193" t="s">
        <v>413</v>
      </c>
      <c r="G335" s="193" t="s">
        <v>426</v>
      </c>
      <c r="H335" s="193" t="s">
        <v>285</v>
      </c>
      <c r="I335" s="271">
        <f t="shared" si="66"/>
        <v>-7.2195833333333335</v>
      </c>
      <c r="J335" s="271">
        <f t="shared" si="67"/>
        <v>-7.2195833333333335</v>
      </c>
      <c r="L335" s="194">
        <f t="shared" si="68"/>
        <v>4.8104166666666668</v>
      </c>
    </row>
    <row r="336" spans="3:12">
      <c r="C336" s="191" t="s">
        <v>8</v>
      </c>
      <c r="D336" s="191">
        <v>2018</v>
      </c>
      <c r="E336" s="191" t="s">
        <v>49</v>
      </c>
      <c r="F336" s="193" t="s">
        <v>413</v>
      </c>
      <c r="G336" s="193" t="s">
        <v>426</v>
      </c>
      <c r="H336" s="193" t="s">
        <v>285</v>
      </c>
      <c r="I336" s="271">
        <f t="shared" si="66"/>
        <v>-7.2195833333333335</v>
      </c>
      <c r="J336" s="271">
        <f t="shared" si="67"/>
        <v>-7.2195833333333335</v>
      </c>
      <c r="L336" s="194">
        <f t="shared" si="68"/>
        <v>4.8104166666666668</v>
      </c>
    </row>
    <row r="337" spans="3:12">
      <c r="C337" s="191" t="s">
        <v>8</v>
      </c>
      <c r="D337" s="191">
        <v>2019</v>
      </c>
      <c r="E337" s="191" t="s">
        <v>49</v>
      </c>
      <c r="F337" s="193" t="s">
        <v>413</v>
      </c>
      <c r="G337" s="193" t="s">
        <v>426</v>
      </c>
      <c r="H337" s="193" t="s">
        <v>285</v>
      </c>
      <c r="I337" s="271">
        <f t="shared" si="66"/>
        <v>0</v>
      </c>
      <c r="J337" s="271">
        <f t="shared" si="67"/>
        <v>0</v>
      </c>
      <c r="L337" s="194">
        <f t="shared" si="68"/>
        <v>0</v>
      </c>
    </row>
    <row r="338" spans="3:12">
      <c r="C338" s="191" t="s">
        <v>8</v>
      </c>
      <c r="D338" s="191">
        <v>2010</v>
      </c>
      <c r="E338" s="191" t="s">
        <v>49</v>
      </c>
      <c r="F338" s="193" t="s">
        <v>414</v>
      </c>
      <c r="G338" s="193" t="s">
        <v>426</v>
      </c>
      <c r="H338" s="193" t="s">
        <v>285</v>
      </c>
      <c r="I338" s="271">
        <f t="shared" si="66"/>
        <v>-9.3179166666666671</v>
      </c>
      <c r="J338" s="271">
        <f t="shared" si="67"/>
        <v>-9.3179166666666671</v>
      </c>
      <c r="L338" s="194">
        <f t="shared" si="68"/>
        <v>7.7083333333333339</v>
      </c>
    </row>
    <row r="339" spans="3:12">
      <c r="C339" s="191" t="s">
        <v>8</v>
      </c>
      <c r="D339" s="191">
        <v>2018</v>
      </c>
      <c r="E339" s="191" t="s">
        <v>49</v>
      </c>
      <c r="F339" s="193" t="s">
        <v>414</v>
      </c>
      <c r="G339" s="193" t="s">
        <v>426</v>
      </c>
      <c r="H339" s="193" t="s">
        <v>285</v>
      </c>
      <c r="I339" s="271">
        <f t="shared" si="66"/>
        <v>-9.3179166666666671</v>
      </c>
      <c r="J339" s="271">
        <f t="shared" si="67"/>
        <v>-9.3179166666666671</v>
      </c>
      <c r="L339" s="194">
        <f t="shared" si="68"/>
        <v>7.7083333333333339</v>
      </c>
    </row>
    <row r="340" spans="3:12">
      <c r="C340" s="191" t="s">
        <v>8</v>
      </c>
      <c r="D340" s="191">
        <v>2019</v>
      </c>
      <c r="E340" s="191" t="s">
        <v>49</v>
      </c>
      <c r="F340" s="193" t="s">
        <v>414</v>
      </c>
      <c r="G340" s="193" t="s">
        <v>426</v>
      </c>
      <c r="H340" s="193" t="s">
        <v>285</v>
      </c>
      <c r="I340" s="271">
        <f t="shared" si="66"/>
        <v>0</v>
      </c>
      <c r="J340" s="271">
        <f t="shared" si="67"/>
        <v>0</v>
      </c>
      <c r="L340" s="194">
        <f t="shared" si="68"/>
        <v>0</v>
      </c>
    </row>
    <row r="341" spans="3:12">
      <c r="C341" s="191" t="s">
        <v>8</v>
      </c>
      <c r="D341" s="191">
        <v>2010</v>
      </c>
      <c r="E341" s="191" t="s">
        <v>49</v>
      </c>
      <c r="F341" s="193" t="s">
        <v>166</v>
      </c>
      <c r="G341" s="193" t="s">
        <v>426</v>
      </c>
      <c r="H341" s="193" t="s">
        <v>285</v>
      </c>
      <c r="I341" s="271">
        <f t="shared" si="66"/>
        <v>-5.915</v>
      </c>
      <c r="J341" s="271">
        <f t="shared" si="67"/>
        <v>-5.915</v>
      </c>
      <c r="L341" s="194">
        <f t="shared" si="68"/>
        <v>7.2195833333333335</v>
      </c>
    </row>
    <row r="342" spans="3:12">
      <c r="C342" s="191" t="s">
        <v>8</v>
      </c>
      <c r="D342" s="191">
        <v>2018</v>
      </c>
      <c r="E342" s="191" t="s">
        <v>49</v>
      </c>
      <c r="F342" s="193" t="s">
        <v>166</v>
      </c>
      <c r="G342" s="193" t="s">
        <v>426</v>
      </c>
      <c r="H342" s="193" t="s">
        <v>285</v>
      </c>
      <c r="I342" s="271">
        <f t="shared" si="66"/>
        <v>-5.915</v>
      </c>
      <c r="J342" s="271">
        <f t="shared" si="67"/>
        <v>-5.915</v>
      </c>
      <c r="L342" s="194">
        <f t="shared" si="68"/>
        <v>7.2195833333333335</v>
      </c>
    </row>
    <row r="343" spans="3:12">
      <c r="C343" s="191" t="s">
        <v>8</v>
      </c>
      <c r="D343" s="191">
        <v>2019</v>
      </c>
      <c r="E343" s="191" t="s">
        <v>49</v>
      </c>
      <c r="F343" s="193" t="s">
        <v>166</v>
      </c>
      <c r="G343" s="193" t="s">
        <v>426</v>
      </c>
      <c r="H343" s="193" t="s">
        <v>285</v>
      </c>
      <c r="I343" s="271">
        <f t="shared" si="66"/>
        <v>0</v>
      </c>
      <c r="J343" s="271">
        <f t="shared" si="67"/>
        <v>0</v>
      </c>
      <c r="L343" s="194">
        <f t="shared" si="68"/>
        <v>0</v>
      </c>
    </row>
    <row r="344" spans="3:12">
      <c r="C344" s="191" t="s">
        <v>8</v>
      </c>
      <c r="D344" s="191">
        <v>2010</v>
      </c>
      <c r="E344" s="191" t="s">
        <v>49</v>
      </c>
      <c r="F344" s="193" t="s">
        <v>167</v>
      </c>
      <c r="G344" s="193" t="s">
        <v>426</v>
      </c>
      <c r="H344" s="193" t="s">
        <v>285</v>
      </c>
      <c r="I344" s="271">
        <f t="shared" si="66"/>
        <v>-9.6925000000000008</v>
      </c>
      <c r="J344" s="271">
        <f t="shared" si="67"/>
        <v>-9.6925000000000008</v>
      </c>
      <c r="L344" s="194">
        <f t="shared" si="68"/>
        <v>9.3179166666666671</v>
      </c>
    </row>
    <row r="345" spans="3:12">
      <c r="C345" s="191" t="s">
        <v>8</v>
      </c>
      <c r="D345" s="191">
        <v>2018</v>
      </c>
      <c r="E345" s="191" t="s">
        <v>49</v>
      </c>
      <c r="F345" s="193" t="s">
        <v>167</v>
      </c>
      <c r="G345" s="193" t="s">
        <v>426</v>
      </c>
      <c r="H345" s="193" t="s">
        <v>285</v>
      </c>
      <c r="I345" s="271">
        <f t="shared" si="66"/>
        <v>-9.6925000000000008</v>
      </c>
      <c r="J345" s="271">
        <f t="shared" si="67"/>
        <v>-9.6925000000000008</v>
      </c>
      <c r="L345" s="194">
        <f t="shared" si="68"/>
        <v>9.3179166666666671</v>
      </c>
    </row>
    <row r="346" spans="3:12">
      <c r="C346" s="191" t="s">
        <v>8</v>
      </c>
      <c r="D346" s="191">
        <v>2019</v>
      </c>
      <c r="E346" s="191" t="s">
        <v>49</v>
      </c>
      <c r="F346" s="193" t="s">
        <v>167</v>
      </c>
      <c r="G346" s="193" t="s">
        <v>426</v>
      </c>
      <c r="H346" s="193" t="s">
        <v>285</v>
      </c>
      <c r="I346" s="271">
        <f t="shared" si="66"/>
        <v>0</v>
      </c>
      <c r="J346" s="271">
        <f t="shared" si="67"/>
        <v>0</v>
      </c>
      <c r="L346" s="194">
        <f t="shared" si="68"/>
        <v>0</v>
      </c>
    </row>
    <row r="347" spans="3:12">
      <c r="C347" s="191" t="s">
        <v>8</v>
      </c>
      <c r="D347" s="191">
        <v>2010</v>
      </c>
      <c r="E347" s="191" t="s">
        <v>49</v>
      </c>
      <c r="F347" s="193" t="s">
        <v>415</v>
      </c>
      <c r="G347" s="193" t="s">
        <v>426</v>
      </c>
      <c r="H347" s="193" t="s">
        <v>285</v>
      </c>
      <c r="I347" s="271">
        <f t="shared" si="66"/>
        <v>-3.9658333333333333</v>
      </c>
      <c r="J347" s="271">
        <f t="shared" si="67"/>
        <v>-3.9658333333333333</v>
      </c>
      <c r="L347" s="194">
        <f t="shared" si="68"/>
        <v>5.915</v>
      </c>
    </row>
    <row r="348" spans="3:12">
      <c r="C348" s="191" t="s">
        <v>8</v>
      </c>
      <c r="D348" s="191">
        <v>2018</v>
      </c>
      <c r="E348" s="191" t="s">
        <v>49</v>
      </c>
      <c r="F348" s="193" t="s">
        <v>415</v>
      </c>
      <c r="G348" s="193" t="s">
        <v>426</v>
      </c>
      <c r="H348" s="193" t="s">
        <v>285</v>
      </c>
      <c r="I348" s="271">
        <f t="shared" si="66"/>
        <v>-3.9658333333333333</v>
      </c>
      <c r="J348" s="271">
        <f t="shared" si="67"/>
        <v>-3.9658333333333333</v>
      </c>
      <c r="L348" s="194">
        <f t="shared" si="68"/>
        <v>5.915</v>
      </c>
    </row>
    <row r="349" spans="3:12">
      <c r="C349" s="191" t="s">
        <v>8</v>
      </c>
      <c r="D349" s="191">
        <v>2019</v>
      </c>
      <c r="E349" s="191" t="s">
        <v>49</v>
      </c>
      <c r="F349" s="193" t="s">
        <v>415</v>
      </c>
      <c r="G349" s="193" t="s">
        <v>426</v>
      </c>
      <c r="H349" s="193" t="s">
        <v>285</v>
      </c>
      <c r="I349" s="271">
        <f t="shared" si="66"/>
        <v>0</v>
      </c>
      <c r="J349" s="271">
        <f t="shared" si="67"/>
        <v>0</v>
      </c>
      <c r="L349" s="194">
        <f t="shared" si="68"/>
        <v>0</v>
      </c>
    </row>
    <row r="350" spans="3:12">
      <c r="C350" s="191" t="s">
        <v>8</v>
      </c>
      <c r="D350" s="191">
        <v>2010</v>
      </c>
      <c r="E350" s="191" t="s">
        <v>49</v>
      </c>
      <c r="F350" s="193" t="s">
        <v>416</v>
      </c>
      <c r="G350" s="193" t="s">
        <v>426</v>
      </c>
      <c r="H350" s="193" t="s">
        <v>285</v>
      </c>
      <c r="I350" s="271">
        <f t="shared" si="66"/>
        <v>-8.75</v>
      </c>
      <c r="J350" s="271">
        <f t="shared" si="67"/>
        <v>-8.75</v>
      </c>
      <c r="L350" s="194">
        <f t="shared" si="68"/>
        <v>9.6925000000000008</v>
      </c>
    </row>
    <row r="351" spans="3:12">
      <c r="C351" s="191" t="s">
        <v>8</v>
      </c>
      <c r="D351" s="191">
        <v>2018</v>
      </c>
      <c r="E351" s="191" t="s">
        <v>49</v>
      </c>
      <c r="F351" s="193" t="s">
        <v>416</v>
      </c>
      <c r="G351" s="193" t="s">
        <v>426</v>
      </c>
      <c r="H351" s="193" t="s">
        <v>285</v>
      </c>
      <c r="I351" s="271">
        <f t="shared" si="66"/>
        <v>-8.75</v>
      </c>
      <c r="J351" s="271">
        <f t="shared" si="67"/>
        <v>-8.75</v>
      </c>
      <c r="L351" s="194">
        <f t="shared" si="68"/>
        <v>9.6925000000000008</v>
      </c>
    </row>
    <row r="352" spans="3:12">
      <c r="C352" s="191" t="s">
        <v>8</v>
      </c>
      <c r="D352" s="191">
        <v>2019</v>
      </c>
      <c r="E352" s="191" t="s">
        <v>49</v>
      </c>
      <c r="F352" s="193" t="s">
        <v>416</v>
      </c>
      <c r="G352" s="193" t="s">
        <v>426</v>
      </c>
      <c r="H352" s="193" t="s">
        <v>285</v>
      </c>
      <c r="I352" s="271">
        <f t="shared" si="66"/>
        <v>0</v>
      </c>
      <c r="J352" s="271">
        <f t="shared" si="67"/>
        <v>0</v>
      </c>
      <c r="L352" s="194">
        <f t="shared" si="68"/>
        <v>0</v>
      </c>
    </row>
    <row r="353" spans="3:12">
      <c r="C353" s="191" t="s">
        <v>8</v>
      </c>
      <c r="D353" s="191">
        <v>2010</v>
      </c>
      <c r="E353" s="191" t="s">
        <v>49</v>
      </c>
      <c r="F353" s="273" t="s">
        <v>175</v>
      </c>
      <c r="G353" s="193" t="s">
        <v>426</v>
      </c>
      <c r="H353" s="193" t="s">
        <v>285</v>
      </c>
      <c r="I353" s="271">
        <f t="shared" si="66"/>
        <v>-10.583333333333336</v>
      </c>
      <c r="J353" s="271">
        <f t="shared" si="67"/>
        <v>-10.583333333333336</v>
      </c>
      <c r="L353" s="194">
        <f t="shared" si="68"/>
        <v>3.9658333333333333</v>
      </c>
    </row>
    <row r="354" spans="3:12">
      <c r="C354" s="191" t="s">
        <v>8</v>
      </c>
      <c r="D354" s="191">
        <v>2018</v>
      </c>
      <c r="E354" s="191" t="s">
        <v>49</v>
      </c>
      <c r="F354" s="273" t="s">
        <v>175</v>
      </c>
      <c r="G354" s="193" t="s">
        <v>426</v>
      </c>
      <c r="H354" s="193" t="s">
        <v>285</v>
      </c>
      <c r="I354" s="271">
        <f t="shared" si="66"/>
        <v>-10.583333333333336</v>
      </c>
      <c r="J354" s="271">
        <f t="shared" si="67"/>
        <v>-10.583333333333336</v>
      </c>
      <c r="L354" s="194">
        <f t="shared" si="68"/>
        <v>3.9658333333333333</v>
      </c>
    </row>
    <row r="355" spans="3:12">
      <c r="C355" s="191" t="s">
        <v>8</v>
      </c>
      <c r="D355" s="191">
        <v>2019</v>
      </c>
      <c r="E355" s="191" t="s">
        <v>49</v>
      </c>
      <c r="F355" s="273" t="s">
        <v>175</v>
      </c>
      <c r="G355" s="193" t="s">
        <v>426</v>
      </c>
      <c r="H355" s="193" t="s">
        <v>285</v>
      </c>
      <c r="I355" s="271">
        <f t="shared" si="66"/>
        <v>0</v>
      </c>
      <c r="J355" s="271">
        <f t="shared" si="67"/>
        <v>0</v>
      </c>
      <c r="L355" s="194">
        <f t="shared" si="68"/>
        <v>0</v>
      </c>
    </row>
    <row r="356" spans="3:12">
      <c r="C356" s="191" t="s">
        <v>8</v>
      </c>
      <c r="D356" s="191">
        <v>2010</v>
      </c>
      <c r="E356" s="191" t="s">
        <v>49</v>
      </c>
      <c r="F356" s="193" t="s">
        <v>417</v>
      </c>
      <c r="G356" s="193" t="s">
        <v>426</v>
      </c>
      <c r="H356" s="193" t="s">
        <v>285</v>
      </c>
      <c r="I356" s="271">
        <f t="shared" si="66"/>
        <v>-10.15375</v>
      </c>
      <c r="J356" s="271">
        <f t="shared" si="67"/>
        <v>-10.15375</v>
      </c>
      <c r="L356" s="194">
        <f t="shared" si="68"/>
        <v>8.75</v>
      </c>
    </row>
    <row r="357" spans="3:12">
      <c r="C357" s="191" t="s">
        <v>8</v>
      </c>
      <c r="D357" s="191">
        <v>2018</v>
      </c>
      <c r="E357" s="191" t="s">
        <v>49</v>
      </c>
      <c r="F357" s="193" t="s">
        <v>417</v>
      </c>
      <c r="G357" s="193" t="s">
        <v>426</v>
      </c>
      <c r="H357" s="193" t="s">
        <v>285</v>
      </c>
      <c r="I357" s="271">
        <f t="shared" si="66"/>
        <v>-10.15375</v>
      </c>
      <c r="J357" s="271">
        <f t="shared" si="67"/>
        <v>-10.15375</v>
      </c>
      <c r="L357" s="194">
        <f t="shared" si="68"/>
        <v>8.75</v>
      </c>
    </row>
    <row r="358" spans="3:12">
      <c r="C358" s="191" t="s">
        <v>8</v>
      </c>
      <c r="D358" s="191">
        <v>2019</v>
      </c>
      <c r="E358" s="191" t="s">
        <v>49</v>
      </c>
      <c r="F358" s="193" t="s">
        <v>417</v>
      </c>
      <c r="G358" s="193" t="s">
        <v>426</v>
      </c>
      <c r="H358" s="193" t="s">
        <v>285</v>
      </c>
      <c r="I358" s="271">
        <f t="shared" si="66"/>
        <v>0</v>
      </c>
      <c r="J358" s="271">
        <f t="shared" si="67"/>
        <v>0</v>
      </c>
      <c r="L358" s="194">
        <f t="shared" si="68"/>
        <v>0</v>
      </c>
    </row>
    <row r="359" spans="3:12">
      <c r="C359" s="191" t="s">
        <v>8</v>
      </c>
      <c r="D359" s="191">
        <v>2010</v>
      </c>
      <c r="E359" s="191" t="s">
        <v>49</v>
      </c>
      <c r="F359" s="193" t="s">
        <v>176</v>
      </c>
      <c r="G359" s="193" t="s">
        <v>426</v>
      </c>
      <c r="H359" s="193" t="s">
        <v>285</v>
      </c>
      <c r="I359" s="271">
        <f t="shared" si="66"/>
        <v>-5.915</v>
      </c>
      <c r="J359" s="271">
        <f t="shared" si="67"/>
        <v>-5.915</v>
      </c>
      <c r="L359" s="194">
        <f t="shared" si="68"/>
        <v>10.583333333333336</v>
      </c>
    </row>
    <row r="360" spans="3:12">
      <c r="C360" s="191" t="s">
        <v>8</v>
      </c>
      <c r="D360" s="191">
        <v>2018</v>
      </c>
      <c r="E360" s="191" t="s">
        <v>49</v>
      </c>
      <c r="F360" s="193" t="s">
        <v>176</v>
      </c>
      <c r="G360" s="193" t="s">
        <v>426</v>
      </c>
      <c r="H360" s="193" t="s">
        <v>285</v>
      </c>
      <c r="I360" s="271">
        <f t="shared" si="66"/>
        <v>-5.915</v>
      </c>
      <c r="J360" s="271">
        <f t="shared" si="67"/>
        <v>-5.915</v>
      </c>
      <c r="L360" s="194">
        <f t="shared" si="68"/>
        <v>10.583333333333336</v>
      </c>
    </row>
    <row r="361" spans="3:12">
      <c r="C361" s="191" t="s">
        <v>8</v>
      </c>
      <c r="D361" s="191">
        <v>2019</v>
      </c>
      <c r="E361" s="191" t="s">
        <v>49</v>
      </c>
      <c r="F361" s="193" t="s">
        <v>176</v>
      </c>
      <c r="G361" s="193" t="s">
        <v>426</v>
      </c>
      <c r="H361" s="193" t="s">
        <v>285</v>
      </c>
      <c r="I361" s="271">
        <f t="shared" si="66"/>
        <v>0</v>
      </c>
      <c r="J361" s="271">
        <f t="shared" si="67"/>
        <v>0</v>
      </c>
      <c r="L361" s="194">
        <f t="shared" si="68"/>
        <v>0</v>
      </c>
    </row>
    <row r="362" spans="3:12">
      <c r="C362" s="191" t="s">
        <v>8</v>
      </c>
      <c r="D362" s="191">
        <v>2010</v>
      </c>
      <c r="E362" s="191" t="s">
        <v>49</v>
      </c>
      <c r="F362" s="193" t="s">
        <v>418</v>
      </c>
      <c r="G362" s="193" t="s">
        <v>426</v>
      </c>
      <c r="H362" s="193" t="s">
        <v>285</v>
      </c>
      <c r="I362" s="271">
        <f t="shared" si="66"/>
        <v>-13.811666666666667</v>
      </c>
      <c r="J362" s="271">
        <f t="shared" si="67"/>
        <v>-13.811666666666667</v>
      </c>
      <c r="L362" s="194">
        <f t="shared" si="68"/>
        <v>10.15375</v>
      </c>
    </row>
    <row r="363" spans="3:12">
      <c r="C363" s="191" t="s">
        <v>8</v>
      </c>
      <c r="D363" s="191">
        <v>2018</v>
      </c>
      <c r="E363" s="191" t="s">
        <v>49</v>
      </c>
      <c r="F363" s="193" t="s">
        <v>418</v>
      </c>
      <c r="G363" s="193" t="s">
        <v>426</v>
      </c>
      <c r="H363" s="193" t="s">
        <v>285</v>
      </c>
      <c r="I363" s="271">
        <f t="shared" si="66"/>
        <v>-13.811666666666667</v>
      </c>
      <c r="J363" s="271">
        <f t="shared" si="67"/>
        <v>-13.811666666666667</v>
      </c>
      <c r="L363" s="194">
        <f t="shared" si="68"/>
        <v>10.15375</v>
      </c>
    </row>
    <row r="364" spans="3:12">
      <c r="C364" s="191" t="s">
        <v>8</v>
      </c>
      <c r="D364" s="191">
        <v>2019</v>
      </c>
      <c r="E364" s="191" t="s">
        <v>49</v>
      </c>
      <c r="F364" s="193" t="s">
        <v>418</v>
      </c>
      <c r="G364" s="193" t="s">
        <v>426</v>
      </c>
      <c r="H364" s="193" t="s">
        <v>285</v>
      </c>
      <c r="I364" s="271">
        <f t="shared" ref="I364:I427" si="69">L226*-1</f>
        <v>0</v>
      </c>
      <c r="J364" s="271">
        <f t="shared" ref="J364:J427" si="70">I364</f>
        <v>0</v>
      </c>
      <c r="L364" s="194">
        <f t="shared" si="68"/>
        <v>0</v>
      </c>
    </row>
    <row r="365" spans="3:12">
      <c r="C365" s="191" t="s">
        <v>8</v>
      </c>
      <c r="D365" s="191">
        <v>2010</v>
      </c>
      <c r="E365" s="191" t="s">
        <v>49</v>
      </c>
      <c r="F365" s="193" t="s">
        <v>419</v>
      </c>
      <c r="G365" s="193" t="s">
        <v>426</v>
      </c>
      <c r="H365" s="193" t="s">
        <v>285</v>
      </c>
      <c r="I365" s="271">
        <f t="shared" si="69"/>
        <v>-9.4641666666666673</v>
      </c>
      <c r="J365" s="271">
        <f t="shared" si="70"/>
        <v>-9.4641666666666673</v>
      </c>
      <c r="L365" s="194">
        <f t="shared" si="68"/>
        <v>5.915</v>
      </c>
    </row>
    <row r="366" spans="3:12">
      <c r="C366" s="191" t="s">
        <v>8</v>
      </c>
      <c r="D366" s="191">
        <v>2018</v>
      </c>
      <c r="E366" s="191" t="s">
        <v>49</v>
      </c>
      <c r="F366" s="193" t="s">
        <v>419</v>
      </c>
      <c r="G366" s="193" t="s">
        <v>426</v>
      </c>
      <c r="H366" s="193" t="s">
        <v>285</v>
      </c>
      <c r="I366" s="271">
        <f t="shared" si="69"/>
        <v>-9.4641666666666673</v>
      </c>
      <c r="J366" s="271">
        <f t="shared" si="70"/>
        <v>-9.4641666666666673</v>
      </c>
      <c r="L366" s="194">
        <f t="shared" si="68"/>
        <v>5.915</v>
      </c>
    </row>
    <row r="367" spans="3:12">
      <c r="C367" s="191" t="s">
        <v>8</v>
      </c>
      <c r="D367" s="191">
        <v>2019</v>
      </c>
      <c r="E367" s="191" t="s">
        <v>49</v>
      </c>
      <c r="F367" s="193" t="s">
        <v>419</v>
      </c>
      <c r="G367" s="193" t="s">
        <v>426</v>
      </c>
      <c r="H367" s="193" t="s">
        <v>285</v>
      </c>
      <c r="I367" s="271">
        <f t="shared" si="69"/>
        <v>0</v>
      </c>
      <c r="J367" s="271">
        <f t="shared" si="70"/>
        <v>0</v>
      </c>
      <c r="L367" s="194">
        <f t="shared" si="68"/>
        <v>0</v>
      </c>
    </row>
    <row r="368" spans="3:12">
      <c r="C368" s="191" t="s">
        <v>8</v>
      </c>
      <c r="D368" s="191">
        <v>2010</v>
      </c>
      <c r="E368" s="191" t="s">
        <v>49</v>
      </c>
      <c r="F368" s="193" t="s">
        <v>181</v>
      </c>
      <c r="G368" s="193" t="s">
        <v>426</v>
      </c>
      <c r="H368" s="193" t="s">
        <v>285</v>
      </c>
      <c r="I368" s="271">
        <f t="shared" si="69"/>
        <v>-9.6925000000000008</v>
      </c>
      <c r="J368" s="271">
        <f t="shared" si="70"/>
        <v>-9.6925000000000008</v>
      </c>
      <c r="L368" s="194">
        <f t="shared" si="68"/>
        <v>13.811666666666667</v>
      </c>
    </row>
    <row r="369" spans="3:12">
      <c r="C369" s="191" t="s">
        <v>8</v>
      </c>
      <c r="D369" s="191">
        <v>2018</v>
      </c>
      <c r="E369" s="191" t="s">
        <v>49</v>
      </c>
      <c r="F369" s="193" t="s">
        <v>181</v>
      </c>
      <c r="G369" s="193" t="s">
        <v>426</v>
      </c>
      <c r="H369" s="193" t="s">
        <v>285</v>
      </c>
      <c r="I369" s="271">
        <f t="shared" si="69"/>
        <v>-9.6925000000000008</v>
      </c>
      <c r="J369" s="271">
        <f t="shared" si="70"/>
        <v>-9.6925000000000008</v>
      </c>
      <c r="L369" s="194">
        <f t="shared" ref="L369:L432" si="71">L225</f>
        <v>13.811666666666667</v>
      </c>
    </row>
    <row r="370" spans="3:12">
      <c r="C370" s="191" t="s">
        <v>8</v>
      </c>
      <c r="D370" s="191">
        <v>2019</v>
      </c>
      <c r="E370" s="191" t="s">
        <v>49</v>
      </c>
      <c r="F370" s="193" t="s">
        <v>181</v>
      </c>
      <c r="G370" s="193" t="s">
        <v>426</v>
      </c>
      <c r="H370" s="193" t="s">
        <v>285</v>
      </c>
      <c r="I370" s="271">
        <f t="shared" si="69"/>
        <v>0</v>
      </c>
      <c r="J370" s="271">
        <f t="shared" si="70"/>
        <v>0</v>
      </c>
      <c r="L370" s="194">
        <f t="shared" si="71"/>
        <v>0</v>
      </c>
    </row>
    <row r="371" spans="3:12">
      <c r="C371" s="191" t="s">
        <v>8</v>
      </c>
      <c r="D371" s="191">
        <v>2010</v>
      </c>
      <c r="E371" s="191" t="s">
        <v>49</v>
      </c>
      <c r="F371" s="193" t="s">
        <v>169</v>
      </c>
      <c r="G371" s="193" t="s">
        <v>426</v>
      </c>
      <c r="H371" s="193" t="s">
        <v>285</v>
      </c>
      <c r="I371" s="271">
        <f t="shared" si="69"/>
        <v>-10.314583333333333</v>
      </c>
      <c r="J371" s="271">
        <f t="shared" si="70"/>
        <v>-10.314583333333333</v>
      </c>
      <c r="L371" s="194">
        <f t="shared" si="71"/>
        <v>9.4641666666666673</v>
      </c>
    </row>
    <row r="372" spans="3:12">
      <c r="C372" s="191" t="s">
        <v>8</v>
      </c>
      <c r="D372" s="191">
        <v>2018</v>
      </c>
      <c r="E372" s="191" t="s">
        <v>49</v>
      </c>
      <c r="F372" s="193" t="s">
        <v>169</v>
      </c>
      <c r="G372" s="193" t="s">
        <v>426</v>
      </c>
      <c r="H372" s="193" t="s">
        <v>285</v>
      </c>
      <c r="I372" s="271">
        <f t="shared" si="69"/>
        <v>-10.314583333333333</v>
      </c>
      <c r="J372" s="271">
        <f t="shared" si="70"/>
        <v>-10.314583333333333</v>
      </c>
      <c r="L372" s="194">
        <f t="shared" si="71"/>
        <v>9.4641666666666673</v>
      </c>
    </row>
    <row r="373" spans="3:12">
      <c r="C373" s="191" t="s">
        <v>8</v>
      </c>
      <c r="D373" s="191">
        <v>2019</v>
      </c>
      <c r="E373" s="191" t="s">
        <v>49</v>
      </c>
      <c r="F373" s="193" t="s">
        <v>169</v>
      </c>
      <c r="G373" s="193" t="s">
        <v>426</v>
      </c>
      <c r="H373" s="193" t="s">
        <v>285</v>
      </c>
      <c r="I373" s="271">
        <f t="shared" si="69"/>
        <v>0</v>
      </c>
      <c r="J373" s="271">
        <f t="shared" si="70"/>
        <v>0</v>
      </c>
      <c r="L373" s="194">
        <f t="shared" si="71"/>
        <v>0</v>
      </c>
    </row>
    <row r="374" spans="3:12">
      <c r="C374" s="191" t="s">
        <v>8</v>
      </c>
      <c r="D374" s="191">
        <v>2010</v>
      </c>
      <c r="E374" s="191" t="s">
        <v>49</v>
      </c>
      <c r="F374" s="193" t="s">
        <v>170</v>
      </c>
      <c r="G374" s="193" t="s">
        <v>426</v>
      </c>
      <c r="H374" s="193" t="s">
        <v>285</v>
      </c>
      <c r="I374" s="271">
        <f t="shared" si="69"/>
        <v>-10.314583333333333</v>
      </c>
      <c r="J374" s="271">
        <f t="shared" si="70"/>
        <v>-10.314583333333333</v>
      </c>
      <c r="L374" s="194">
        <f t="shared" si="71"/>
        <v>9.6925000000000008</v>
      </c>
    </row>
    <row r="375" spans="3:12">
      <c r="C375" s="191" t="s">
        <v>8</v>
      </c>
      <c r="D375" s="191">
        <v>2018</v>
      </c>
      <c r="E375" s="191" t="s">
        <v>49</v>
      </c>
      <c r="F375" s="193" t="s">
        <v>170</v>
      </c>
      <c r="G375" s="193" t="s">
        <v>426</v>
      </c>
      <c r="H375" s="193" t="s">
        <v>285</v>
      </c>
      <c r="I375" s="271">
        <f t="shared" si="69"/>
        <v>-10.314583333333333</v>
      </c>
      <c r="J375" s="271">
        <f t="shared" si="70"/>
        <v>-10.314583333333333</v>
      </c>
      <c r="L375" s="194">
        <f t="shared" si="71"/>
        <v>9.6925000000000008</v>
      </c>
    </row>
    <row r="376" spans="3:12">
      <c r="C376" s="191" t="s">
        <v>8</v>
      </c>
      <c r="D376" s="191">
        <v>2019</v>
      </c>
      <c r="E376" s="191" t="s">
        <v>49</v>
      </c>
      <c r="F376" s="193" t="s">
        <v>170</v>
      </c>
      <c r="G376" s="193" t="s">
        <v>426</v>
      </c>
      <c r="H376" s="193" t="s">
        <v>285</v>
      </c>
      <c r="I376" s="271">
        <f t="shared" si="69"/>
        <v>0</v>
      </c>
      <c r="J376" s="271">
        <f t="shared" si="70"/>
        <v>0</v>
      </c>
      <c r="L376" s="194">
        <f t="shared" si="71"/>
        <v>0</v>
      </c>
    </row>
    <row r="377" spans="3:12">
      <c r="C377" s="191" t="s">
        <v>8</v>
      </c>
      <c r="D377" s="191">
        <v>2010</v>
      </c>
      <c r="E377" s="191" t="s">
        <v>49</v>
      </c>
      <c r="F377" s="193" t="s">
        <v>413</v>
      </c>
      <c r="G377" s="193" t="s">
        <v>426</v>
      </c>
      <c r="H377" s="193" t="s">
        <v>285</v>
      </c>
      <c r="I377" s="271">
        <f t="shared" si="69"/>
        <v>-7.2195833333333335</v>
      </c>
      <c r="J377" s="271">
        <f t="shared" si="70"/>
        <v>-7.2195833333333335</v>
      </c>
      <c r="L377" s="194">
        <f t="shared" si="71"/>
        <v>10.314583333333333</v>
      </c>
    </row>
    <row r="378" spans="3:12">
      <c r="C378" s="191" t="s">
        <v>8</v>
      </c>
      <c r="D378" s="191">
        <v>2018</v>
      </c>
      <c r="E378" s="191" t="s">
        <v>49</v>
      </c>
      <c r="F378" s="193" t="s">
        <v>413</v>
      </c>
      <c r="G378" s="193" t="s">
        <v>426</v>
      </c>
      <c r="H378" s="193" t="s">
        <v>285</v>
      </c>
      <c r="I378" s="271">
        <f t="shared" si="69"/>
        <v>-7.2195833333333335</v>
      </c>
      <c r="J378" s="271">
        <f t="shared" si="70"/>
        <v>-7.2195833333333335</v>
      </c>
      <c r="L378" s="194">
        <f t="shared" si="71"/>
        <v>10.314583333333333</v>
      </c>
    </row>
    <row r="379" spans="3:12">
      <c r="C379" s="191" t="s">
        <v>8</v>
      </c>
      <c r="D379" s="191">
        <v>2019</v>
      </c>
      <c r="E379" s="191" t="s">
        <v>49</v>
      </c>
      <c r="F379" s="193" t="s">
        <v>413</v>
      </c>
      <c r="G379" s="193" t="s">
        <v>426</v>
      </c>
      <c r="H379" s="193" t="s">
        <v>285</v>
      </c>
      <c r="I379" s="271">
        <f t="shared" si="69"/>
        <v>0</v>
      </c>
      <c r="J379" s="271">
        <f t="shared" si="70"/>
        <v>0</v>
      </c>
      <c r="L379" s="194">
        <f t="shared" si="71"/>
        <v>0</v>
      </c>
    </row>
    <row r="380" spans="3:12">
      <c r="C380" s="191" t="s">
        <v>8</v>
      </c>
      <c r="D380" s="191">
        <v>2010</v>
      </c>
      <c r="E380" s="191" t="s">
        <v>49</v>
      </c>
      <c r="F380" s="193" t="s">
        <v>420</v>
      </c>
      <c r="G380" s="193" t="s">
        <v>426</v>
      </c>
      <c r="H380" s="193" t="s">
        <v>285</v>
      </c>
      <c r="I380" s="271">
        <f t="shared" si="69"/>
        <v>-8.9108333333333345</v>
      </c>
      <c r="J380" s="271">
        <f t="shared" si="70"/>
        <v>-8.9108333333333345</v>
      </c>
      <c r="L380" s="194">
        <f t="shared" si="71"/>
        <v>10.314583333333333</v>
      </c>
    </row>
    <row r="381" spans="3:12">
      <c r="C381" s="191" t="s">
        <v>8</v>
      </c>
      <c r="D381" s="191">
        <v>2018</v>
      </c>
      <c r="E381" s="191" t="s">
        <v>49</v>
      </c>
      <c r="F381" s="193" t="s">
        <v>420</v>
      </c>
      <c r="G381" s="193" t="s">
        <v>426</v>
      </c>
      <c r="H381" s="193" t="s">
        <v>285</v>
      </c>
      <c r="I381" s="271">
        <f t="shared" si="69"/>
        <v>-8.9108333333333345</v>
      </c>
      <c r="J381" s="271">
        <f t="shared" si="70"/>
        <v>-8.9108333333333345</v>
      </c>
      <c r="L381" s="194">
        <f t="shared" si="71"/>
        <v>10.314583333333333</v>
      </c>
    </row>
    <row r="382" spans="3:12">
      <c r="C382" s="191" t="s">
        <v>8</v>
      </c>
      <c r="D382" s="191">
        <v>2019</v>
      </c>
      <c r="E382" s="191" t="s">
        <v>49</v>
      </c>
      <c r="F382" s="193" t="s">
        <v>420</v>
      </c>
      <c r="G382" s="193" t="s">
        <v>426</v>
      </c>
      <c r="H382" s="193" t="s">
        <v>285</v>
      </c>
      <c r="I382" s="271">
        <f t="shared" si="69"/>
        <v>0</v>
      </c>
      <c r="J382" s="271">
        <f t="shared" si="70"/>
        <v>0</v>
      </c>
      <c r="L382" s="194">
        <f t="shared" si="71"/>
        <v>0</v>
      </c>
    </row>
    <row r="383" spans="3:12">
      <c r="C383" s="191" t="s">
        <v>8</v>
      </c>
      <c r="D383" s="191">
        <v>2010</v>
      </c>
      <c r="E383" s="191" t="s">
        <v>49</v>
      </c>
      <c r="F383" s="193" t="s">
        <v>171</v>
      </c>
      <c r="G383" s="193" t="s">
        <v>426</v>
      </c>
      <c r="H383" s="193" t="s">
        <v>285</v>
      </c>
      <c r="I383" s="271">
        <f t="shared" si="69"/>
        <v>-7.3033333333333337</v>
      </c>
      <c r="J383" s="271">
        <f t="shared" si="70"/>
        <v>-7.3033333333333337</v>
      </c>
      <c r="L383" s="194">
        <f t="shared" si="71"/>
        <v>7.2195833333333335</v>
      </c>
    </row>
    <row r="384" spans="3:12">
      <c r="C384" s="191" t="s">
        <v>8</v>
      </c>
      <c r="D384" s="191">
        <v>2018</v>
      </c>
      <c r="E384" s="191" t="s">
        <v>49</v>
      </c>
      <c r="F384" s="193" t="s">
        <v>171</v>
      </c>
      <c r="G384" s="193" t="s">
        <v>426</v>
      </c>
      <c r="H384" s="193" t="s">
        <v>285</v>
      </c>
      <c r="I384" s="271">
        <f t="shared" si="69"/>
        <v>-7.3033333333333337</v>
      </c>
      <c r="J384" s="271">
        <f t="shared" si="70"/>
        <v>-7.3033333333333337</v>
      </c>
      <c r="L384" s="194">
        <f t="shared" si="71"/>
        <v>7.2195833333333335</v>
      </c>
    </row>
    <row r="385" spans="3:12">
      <c r="C385" s="191" t="s">
        <v>8</v>
      </c>
      <c r="D385" s="191">
        <v>2019</v>
      </c>
      <c r="E385" s="191" t="s">
        <v>49</v>
      </c>
      <c r="F385" s="193" t="s">
        <v>171</v>
      </c>
      <c r="G385" s="193" t="s">
        <v>426</v>
      </c>
      <c r="H385" s="193" t="s">
        <v>285</v>
      </c>
      <c r="I385" s="271">
        <f t="shared" si="69"/>
        <v>0</v>
      </c>
      <c r="J385" s="271">
        <f t="shared" si="70"/>
        <v>0</v>
      </c>
      <c r="L385" s="194">
        <f t="shared" si="71"/>
        <v>0</v>
      </c>
    </row>
    <row r="386" spans="3:12">
      <c r="C386" s="191" t="s">
        <v>8</v>
      </c>
      <c r="D386" s="191">
        <v>2010</v>
      </c>
      <c r="E386" s="191" t="s">
        <v>49</v>
      </c>
      <c r="F386" s="193" t="s">
        <v>421</v>
      </c>
      <c r="G386" s="193" t="s">
        <v>426</v>
      </c>
      <c r="H386" s="193" t="s">
        <v>285</v>
      </c>
      <c r="I386" s="271">
        <f t="shared" si="69"/>
        <v>-9.2550000000000008</v>
      </c>
      <c r="J386" s="271">
        <f t="shared" si="70"/>
        <v>-9.2550000000000008</v>
      </c>
      <c r="L386" s="194">
        <f t="shared" si="71"/>
        <v>8.9108333333333345</v>
      </c>
    </row>
    <row r="387" spans="3:12">
      <c r="C387" s="191" t="s">
        <v>8</v>
      </c>
      <c r="D387" s="191">
        <v>2018</v>
      </c>
      <c r="E387" s="191" t="s">
        <v>49</v>
      </c>
      <c r="F387" s="193" t="s">
        <v>421</v>
      </c>
      <c r="G387" s="193" t="s">
        <v>426</v>
      </c>
      <c r="H387" s="193" t="s">
        <v>285</v>
      </c>
      <c r="I387" s="271">
        <f t="shared" si="69"/>
        <v>-9.2550000000000008</v>
      </c>
      <c r="J387" s="271">
        <f t="shared" si="70"/>
        <v>-9.2550000000000008</v>
      </c>
      <c r="L387" s="194">
        <f t="shared" si="71"/>
        <v>8.9108333333333345</v>
      </c>
    </row>
    <row r="388" spans="3:12">
      <c r="C388" s="191" t="s">
        <v>8</v>
      </c>
      <c r="D388" s="191">
        <v>2019</v>
      </c>
      <c r="E388" s="191" t="s">
        <v>49</v>
      </c>
      <c r="F388" s="193" t="s">
        <v>421</v>
      </c>
      <c r="G388" s="193" t="s">
        <v>426</v>
      </c>
      <c r="H388" s="193" t="s">
        <v>285</v>
      </c>
      <c r="I388" s="271">
        <f t="shared" si="69"/>
        <v>0</v>
      </c>
      <c r="J388" s="271">
        <f t="shared" si="70"/>
        <v>0</v>
      </c>
      <c r="L388" s="194">
        <f t="shared" si="71"/>
        <v>0</v>
      </c>
    </row>
    <row r="389" spans="3:12">
      <c r="C389" s="191" t="s">
        <v>8</v>
      </c>
      <c r="D389" s="191">
        <v>2010</v>
      </c>
      <c r="E389" s="191" t="s">
        <v>49</v>
      </c>
      <c r="F389" s="193" t="s">
        <v>100</v>
      </c>
      <c r="G389" s="193" t="s">
        <v>426</v>
      </c>
      <c r="H389" s="193" t="s">
        <v>285</v>
      </c>
      <c r="I389" s="271">
        <f t="shared" si="69"/>
        <v>-6.2787499999999996</v>
      </c>
      <c r="J389" s="271">
        <f t="shared" si="70"/>
        <v>-6.2787499999999996</v>
      </c>
      <c r="L389" s="194">
        <f t="shared" si="71"/>
        <v>7.3033333333333337</v>
      </c>
    </row>
    <row r="390" spans="3:12">
      <c r="C390" s="191" t="s">
        <v>8</v>
      </c>
      <c r="D390" s="191">
        <v>2018</v>
      </c>
      <c r="E390" s="191" t="s">
        <v>49</v>
      </c>
      <c r="F390" s="193" t="s">
        <v>100</v>
      </c>
      <c r="G390" s="193" t="s">
        <v>426</v>
      </c>
      <c r="H390" s="193" t="s">
        <v>285</v>
      </c>
      <c r="I390" s="271">
        <f t="shared" si="69"/>
        <v>-6.2787499999999996</v>
      </c>
      <c r="J390" s="271">
        <f t="shared" si="70"/>
        <v>-6.2787499999999996</v>
      </c>
      <c r="L390" s="194">
        <f t="shared" si="71"/>
        <v>7.3033333333333337</v>
      </c>
    </row>
    <row r="391" spans="3:12">
      <c r="C391" s="191" t="s">
        <v>8</v>
      </c>
      <c r="D391" s="191">
        <v>2019</v>
      </c>
      <c r="E391" s="191" t="s">
        <v>49</v>
      </c>
      <c r="F391" s="193" t="s">
        <v>100</v>
      </c>
      <c r="G391" s="193" t="s">
        <v>426</v>
      </c>
      <c r="H391" s="193" t="s">
        <v>285</v>
      </c>
      <c r="I391" s="271">
        <f t="shared" si="69"/>
        <v>0</v>
      </c>
      <c r="J391" s="271">
        <f t="shared" si="70"/>
        <v>0</v>
      </c>
      <c r="L391" s="194">
        <f t="shared" si="71"/>
        <v>0</v>
      </c>
    </row>
    <row r="392" spans="3:12">
      <c r="C392" s="191" t="s">
        <v>8</v>
      </c>
      <c r="D392" s="191">
        <v>2010</v>
      </c>
      <c r="E392" s="191" t="s">
        <v>49</v>
      </c>
      <c r="F392" s="193" t="s">
        <v>172</v>
      </c>
      <c r="G392" s="193" t="s">
        <v>426</v>
      </c>
      <c r="H392" s="193" t="s">
        <v>285</v>
      </c>
      <c r="I392" s="271">
        <f t="shared" si="69"/>
        <v>-10.2125</v>
      </c>
      <c r="J392" s="271">
        <f t="shared" si="70"/>
        <v>-10.2125</v>
      </c>
      <c r="L392" s="194">
        <f t="shared" si="71"/>
        <v>9.2550000000000008</v>
      </c>
    </row>
    <row r="393" spans="3:12">
      <c r="C393" s="191" t="s">
        <v>8</v>
      </c>
      <c r="D393" s="191">
        <v>2018</v>
      </c>
      <c r="E393" s="191" t="s">
        <v>49</v>
      </c>
      <c r="F393" s="193" t="s">
        <v>172</v>
      </c>
      <c r="G393" s="193" t="s">
        <v>426</v>
      </c>
      <c r="H393" s="193" t="s">
        <v>285</v>
      </c>
      <c r="I393" s="271">
        <f t="shared" si="69"/>
        <v>-10.2125</v>
      </c>
      <c r="J393" s="271">
        <f t="shared" si="70"/>
        <v>-10.2125</v>
      </c>
      <c r="L393" s="194">
        <f t="shared" si="71"/>
        <v>9.2550000000000008</v>
      </c>
    </row>
    <row r="394" spans="3:12">
      <c r="C394" s="191" t="s">
        <v>8</v>
      </c>
      <c r="D394" s="191">
        <v>2019</v>
      </c>
      <c r="E394" s="191" t="s">
        <v>49</v>
      </c>
      <c r="F394" s="193" t="s">
        <v>172</v>
      </c>
      <c r="G394" s="193" t="s">
        <v>426</v>
      </c>
      <c r="H394" s="193" t="s">
        <v>285</v>
      </c>
      <c r="I394" s="271">
        <f t="shared" si="69"/>
        <v>0</v>
      </c>
      <c r="J394" s="271">
        <f t="shared" si="70"/>
        <v>0</v>
      </c>
      <c r="L394" s="194">
        <f t="shared" si="71"/>
        <v>0</v>
      </c>
    </row>
    <row r="395" spans="3:12">
      <c r="C395" s="191" t="s">
        <v>8</v>
      </c>
      <c r="D395" s="191">
        <v>2010</v>
      </c>
      <c r="E395" s="191" t="s">
        <v>49</v>
      </c>
      <c r="F395" s="193" t="s">
        <v>173</v>
      </c>
      <c r="G395" s="193" t="s">
        <v>426</v>
      </c>
      <c r="H395" s="193" t="s">
        <v>285</v>
      </c>
      <c r="I395" s="271">
        <f t="shared" si="69"/>
        <v>-5.375</v>
      </c>
      <c r="J395" s="271">
        <f t="shared" si="70"/>
        <v>-5.375</v>
      </c>
      <c r="L395" s="194">
        <f t="shared" si="71"/>
        <v>6.2787499999999996</v>
      </c>
    </row>
    <row r="396" spans="3:12">
      <c r="C396" s="191" t="s">
        <v>8</v>
      </c>
      <c r="D396" s="191">
        <v>2018</v>
      </c>
      <c r="E396" s="191" t="s">
        <v>49</v>
      </c>
      <c r="F396" s="193" t="s">
        <v>173</v>
      </c>
      <c r="G396" s="193" t="s">
        <v>426</v>
      </c>
      <c r="H396" s="193" t="s">
        <v>285</v>
      </c>
      <c r="I396" s="271">
        <f t="shared" si="69"/>
        <v>-5.375</v>
      </c>
      <c r="J396" s="271">
        <f t="shared" si="70"/>
        <v>-5.375</v>
      </c>
      <c r="L396" s="194">
        <f t="shared" si="71"/>
        <v>6.2787499999999996</v>
      </c>
    </row>
    <row r="397" spans="3:12">
      <c r="C397" s="191" t="s">
        <v>8</v>
      </c>
      <c r="D397" s="191">
        <v>2019</v>
      </c>
      <c r="E397" s="191" t="s">
        <v>49</v>
      </c>
      <c r="F397" s="193" t="s">
        <v>173</v>
      </c>
      <c r="G397" s="193" t="s">
        <v>426</v>
      </c>
      <c r="H397" s="193" t="s">
        <v>285</v>
      </c>
      <c r="I397" s="271">
        <f t="shared" si="69"/>
        <v>0</v>
      </c>
      <c r="J397" s="271">
        <f t="shared" si="70"/>
        <v>0</v>
      </c>
      <c r="L397" s="194">
        <f t="shared" si="71"/>
        <v>0</v>
      </c>
    </row>
    <row r="398" spans="3:12">
      <c r="C398" s="191" t="s">
        <v>8</v>
      </c>
      <c r="D398" s="191">
        <v>2010</v>
      </c>
      <c r="E398" s="191" t="s">
        <v>49</v>
      </c>
      <c r="F398" s="193" t="s">
        <v>167</v>
      </c>
      <c r="G398" s="193" t="s">
        <v>426</v>
      </c>
      <c r="H398" s="193" t="s">
        <v>285</v>
      </c>
      <c r="I398" s="271">
        <f t="shared" si="69"/>
        <v>-9.6925000000000008</v>
      </c>
      <c r="J398" s="271">
        <f t="shared" si="70"/>
        <v>-9.6925000000000008</v>
      </c>
      <c r="L398" s="194">
        <f t="shared" si="71"/>
        <v>10.2125</v>
      </c>
    </row>
    <row r="399" spans="3:12">
      <c r="C399" s="191" t="s">
        <v>8</v>
      </c>
      <c r="D399" s="191">
        <v>2018</v>
      </c>
      <c r="E399" s="191" t="s">
        <v>49</v>
      </c>
      <c r="F399" s="193" t="s">
        <v>167</v>
      </c>
      <c r="G399" s="193" t="s">
        <v>426</v>
      </c>
      <c r="H399" s="193" t="s">
        <v>285</v>
      </c>
      <c r="I399" s="271">
        <f t="shared" si="69"/>
        <v>-9.6925000000000008</v>
      </c>
      <c r="J399" s="271">
        <f t="shared" si="70"/>
        <v>-9.6925000000000008</v>
      </c>
      <c r="L399" s="194">
        <f t="shared" si="71"/>
        <v>10.2125</v>
      </c>
    </row>
    <row r="400" spans="3:12">
      <c r="C400" s="191" t="s">
        <v>8</v>
      </c>
      <c r="D400" s="191">
        <v>2019</v>
      </c>
      <c r="E400" s="191" t="s">
        <v>49</v>
      </c>
      <c r="F400" s="193" t="s">
        <v>167</v>
      </c>
      <c r="G400" s="193" t="s">
        <v>426</v>
      </c>
      <c r="H400" s="193" t="s">
        <v>285</v>
      </c>
      <c r="I400" s="271">
        <f t="shared" si="69"/>
        <v>0</v>
      </c>
      <c r="J400" s="271">
        <f t="shared" si="70"/>
        <v>0</v>
      </c>
      <c r="L400" s="194">
        <f t="shared" si="71"/>
        <v>0</v>
      </c>
    </row>
    <row r="401" spans="3:12">
      <c r="C401" s="191" t="s">
        <v>8</v>
      </c>
      <c r="D401" s="191">
        <v>2010</v>
      </c>
      <c r="E401" s="191" t="s">
        <v>49</v>
      </c>
      <c r="F401" s="193" t="s">
        <v>174</v>
      </c>
      <c r="G401" s="193" t="s">
        <v>426</v>
      </c>
      <c r="H401" s="193" t="s">
        <v>285</v>
      </c>
      <c r="I401" s="271">
        <f t="shared" si="69"/>
        <v>-7.2312500000000002</v>
      </c>
      <c r="J401" s="271">
        <f t="shared" si="70"/>
        <v>-7.2312500000000002</v>
      </c>
      <c r="L401" s="194">
        <f t="shared" si="71"/>
        <v>5.375</v>
      </c>
    </row>
    <row r="402" spans="3:12">
      <c r="C402" s="191" t="s">
        <v>8</v>
      </c>
      <c r="D402" s="191">
        <v>2018</v>
      </c>
      <c r="E402" s="191" t="s">
        <v>49</v>
      </c>
      <c r="F402" s="193" t="s">
        <v>174</v>
      </c>
      <c r="G402" s="193" t="s">
        <v>426</v>
      </c>
      <c r="H402" s="193" t="s">
        <v>285</v>
      </c>
      <c r="I402" s="271">
        <f t="shared" si="69"/>
        <v>-7.2312500000000002</v>
      </c>
      <c r="J402" s="271">
        <f t="shared" si="70"/>
        <v>-7.2312500000000002</v>
      </c>
      <c r="L402" s="194">
        <f t="shared" si="71"/>
        <v>5.375</v>
      </c>
    </row>
    <row r="403" spans="3:12">
      <c r="C403" s="191" t="s">
        <v>8</v>
      </c>
      <c r="D403" s="191">
        <v>2019</v>
      </c>
      <c r="E403" s="191" t="s">
        <v>49</v>
      </c>
      <c r="F403" s="193" t="s">
        <v>174</v>
      </c>
      <c r="G403" s="193" t="s">
        <v>426</v>
      </c>
      <c r="H403" s="193" t="s">
        <v>285</v>
      </c>
      <c r="I403" s="271">
        <f t="shared" si="69"/>
        <v>0</v>
      </c>
      <c r="J403" s="271">
        <f t="shared" si="70"/>
        <v>0</v>
      </c>
      <c r="L403" s="194">
        <f t="shared" si="71"/>
        <v>0</v>
      </c>
    </row>
    <row r="404" spans="3:12">
      <c r="C404" s="191" t="s">
        <v>8</v>
      </c>
      <c r="D404" s="191">
        <v>2010</v>
      </c>
      <c r="E404" s="191" t="s">
        <v>49</v>
      </c>
      <c r="F404" s="193" t="s">
        <v>422</v>
      </c>
      <c r="G404" s="193" t="s">
        <v>426</v>
      </c>
      <c r="H404" s="193" t="s">
        <v>285</v>
      </c>
      <c r="I404" s="271">
        <f t="shared" si="69"/>
        <v>-11.411250000000003</v>
      </c>
      <c r="J404" s="271">
        <f t="shared" si="70"/>
        <v>-11.411250000000003</v>
      </c>
      <c r="L404" s="194">
        <f t="shared" si="71"/>
        <v>9.6925000000000008</v>
      </c>
    </row>
    <row r="405" spans="3:12">
      <c r="C405" s="191" t="s">
        <v>8</v>
      </c>
      <c r="D405" s="191">
        <v>2018</v>
      </c>
      <c r="E405" s="191" t="s">
        <v>49</v>
      </c>
      <c r="F405" s="193" t="s">
        <v>422</v>
      </c>
      <c r="G405" s="193" t="s">
        <v>426</v>
      </c>
      <c r="H405" s="193" t="s">
        <v>285</v>
      </c>
      <c r="I405" s="271">
        <f t="shared" si="69"/>
        <v>-11.411250000000003</v>
      </c>
      <c r="J405" s="271">
        <f t="shared" si="70"/>
        <v>-11.411250000000003</v>
      </c>
      <c r="L405" s="194">
        <f t="shared" si="71"/>
        <v>9.6925000000000008</v>
      </c>
    </row>
    <row r="406" spans="3:12">
      <c r="C406" s="191" t="s">
        <v>8</v>
      </c>
      <c r="D406" s="191">
        <v>2019</v>
      </c>
      <c r="E406" s="191" t="s">
        <v>49</v>
      </c>
      <c r="F406" s="193" t="s">
        <v>422</v>
      </c>
      <c r="G406" s="193" t="s">
        <v>426</v>
      </c>
      <c r="H406" s="193" t="s">
        <v>285</v>
      </c>
      <c r="I406" s="271">
        <f t="shared" si="69"/>
        <v>0</v>
      </c>
      <c r="J406" s="271">
        <f t="shared" si="70"/>
        <v>0</v>
      </c>
      <c r="L406" s="194">
        <f t="shared" si="71"/>
        <v>0</v>
      </c>
    </row>
    <row r="407" spans="3:12">
      <c r="C407" s="191" t="s">
        <v>8</v>
      </c>
      <c r="D407" s="191">
        <v>2010</v>
      </c>
      <c r="E407" s="191" t="s">
        <v>49</v>
      </c>
      <c r="F407" s="193" t="s">
        <v>415</v>
      </c>
      <c r="G407" s="193" t="s">
        <v>426</v>
      </c>
      <c r="H407" s="193" t="s">
        <v>285</v>
      </c>
      <c r="I407" s="271">
        <f t="shared" si="69"/>
        <v>-3.9658333333333333</v>
      </c>
      <c r="J407" s="271">
        <f t="shared" si="70"/>
        <v>-3.9658333333333333</v>
      </c>
      <c r="L407" s="194">
        <f t="shared" si="71"/>
        <v>7.2312500000000002</v>
      </c>
    </row>
    <row r="408" spans="3:12">
      <c r="C408" s="191" t="s">
        <v>8</v>
      </c>
      <c r="D408" s="191">
        <v>2018</v>
      </c>
      <c r="E408" s="191" t="s">
        <v>49</v>
      </c>
      <c r="F408" s="193" t="s">
        <v>415</v>
      </c>
      <c r="G408" s="193" t="s">
        <v>426</v>
      </c>
      <c r="H408" s="193" t="s">
        <v>285</v>
      </c>
      <c r="I408" s="271">
        <f t="shared" si="69"/>
        <v>-3.9658333333333333</v>
      </c>
      <c r="J408" s="271">
        <f t="shared" si="70"/>
        <v>-3.9658333333333333</v>
      </c>
      <c r="L408" s="194">
        <f t="shared" si="71"/>
        <v>7.2312500000000002</v>
      </c>
    </row>
    <row r="409" spans="3:12">
      <c r="C409" s="191" t="s">
        <v>8</v>
      </c>
      <c r="D409" s="191">
        <v>2019</v>
      </c>
      <c r="E409" s="191" t="s">
        <v>49</v>
      </c>
      <c r="F409" s="193" t="s">
        <v>415</v>
      </c>
      <c r="G409" s="193" t="s">
        <v>426</v>
      </c>
      <c r="H409" s="193" t="s">
        <v>285</v>
      </c>
      <c r="I409" s="271">
        <f t="shared" si="69"/>
        <v>0</v>
      </c>
      <c r="J409" s="271">
        <f t="shared" si="70"/>
        <v>0</v>
      </c>
      <c r="L409" s="194">
        <f t="shared" si="71"/>
        <v>0</v>
      </c>
    </row>
    <row r="410" spans="3:12">
      <c r="C410" s="191" t="s">
        <v>8</v>
      </c>
      <c r="D410" s="191">
        <v>2010</v>
      </c>
      <c r="E410" s="191" t="s">
        <v>49</v>
      </c>
      <c r="F410" s="193" t="s">
        <v>423</v>
      </c>
      <c r="G410" s="193" t="s">
        <v>426</v>
      </c>
      <c r="H410" s="193" t="s">
        <v>285</v>
      </c>
      <c r="I410" s="271">
        <f t="shared" si="69"/>
        <v>-8.3333333333333339</v>
      </c>
      <c r="J410" s="271">
        <f t="shared" si="70"/>
        <v>-8.3333333333333339</v>
      </c>
      <c r="L410" s="194">
        <f t="shared" si="71"/>
        <v>11.411250000000003</v>
      </c>
    </row>
    <row r="411" spans="3:12">
      <c r="C411" s="191" t="s">
        <v>8</v>
      </c>
      <c r="D411" s="191">
        <v>2018</v>
      </c>
      <c r="E411" s="191" t="s">
        <v>49</v>
      </c>
      <c r="F411" s="193" t="s">
        <v>423</v>
      </c>
      <c r="G411" s="193" t="s">
        <v>426</v>
      </c>
      <c r="H411" s="193" t="s">
        <v>285</v>
      </c>
      <c r="I411" s="271">
        <f t="shared" si="69"/>
        <v>-8.3333333333333339</v>
      </c>
      <c r="J411" s="271">
        <f t="shared" si="70"/>
        <v>-8.3333333333333339</v>
      </c>
      <c r="L411" s="194">
        <f t="shared" si="71"/>
        <v>11.411250000000003</v>
      </c>
    </row>
    <row r="412" spans="3:12">
      <c r="C412" s="191" t="s">
        <v>8</v>
      </c>
      <c r="D412" s="191">
        <v>2019</v>
      </c>
      <c r="E412" s="191" t="s">
        <v>49</v>
      </c>
      <c r="F412" s="193" t="s">
        <v>423</v>
      </c>
      <c r="G412" s="193" t="s">
        <v>426</v>
      </c>
      <c r="H412" s="193" t="s">
        <v>285</v>
      </c>
      <c r="I412" s="271">
        <f t="shared" si="69"/>
        <v>0</v>
      </c>
      <c r="J412" s="271">
        <f t="shared" si="70"/>
        <v>0</v>
      </c>
      <c r="L412" s="194">
        <f t="shared" si="71"/>
        <v>0</v>
      </c>
    </row>
    <row r="413" spans="3:12">
      <c r="C413" s="191" t="s">
        <v>8</v>
      </c>
      <c r="D413" s="191">
        <v>2010</v>
      </c>
      <c r="E413" s="191" t="s">
        <v>49</v>
      </c>
      <c r="F413" s="273" t="s">
        <v>175</v>
      </c>
      <c r="G413" s="193" t="s">
        <v>426</v>
      </c>
      <c r="H413" s="193" t="s">
        <v>285</v>
      </c>
      <c r="I413" s="271">
        <f t="shared" si="69"/>
        <v>-10.583333333333336</v>
      </c>
      <c r="J413" s="271">
        <f t="shared" si="70"/>
        <v>-10.583333333333336</v>
      </c>
      <c r="L413" s="194">
        <f t="shared" si="71"/>
        <v>3.9658333333333333</v>
      </c>
    </row>
    <row r="414" spans="3:12">
      <c r="C414" s="191" t="s">
        <v>8</v>
      </c>
      <c r="D414" s="191">
        <v>2018</v>
      </c>
      <c r="E414" s="191" t="s">
        <v>49</v>
      </c>
      <c r="F414" s="273" t="s">
        <v>175</v>
      </c>
      <c r="G414" s="193" t="s">
        <v>426</v>
      </c>
      <c r="H414" s="193" t="s">
        <v>285</v>
      </c>
      <c r="I414" s="271">
        <f t="shared" si="69"/>
        <v>-10.583333333333336</v>
      </c>
      <c r="J414" s="271">
        <f t="shared" si="70"/>
        <v>-10.583333333333336</v>
      </c>
      <c r="L414" s="194">
        <f t="shared" si="71"/>
        <v>3.9658333333333333</v>
      </c>
    </row>
    <row r="415" spans="3:12">
      <c r="C415" s="191" t="s">
        <v>8</v>
      </c>
      <c r="D415" s="191">
        <v>2019</v>
      </c>
      <c r="E415" s="191" t="s">
        <v>49</v>
      </c>
      <c r="F415" s="273" t="s">
        <v>175</v>
      </c>
      <c r="G415" s="193" t="s">
        <v>426</v>
      </c>
      <c r="H415" s="193" t="s">
        <v>285</v>
      </c>
      <c r="I415" s="271">
        <f t="shared" si="69"/>
        <v>0</v>
      </c>
      <c r="J415" s="271">
        <f t="shared" si="70"/>
        <v>0</v>
      </c>
      <c r="L415" s="194">
        <f t="shared" si="71"/>
        <v>0</v>
      </c>
    </row>
    <row r="416" spans="3:12">
      <c r="C416" s="191" t="s">
        <v>8</v>
      </c>
      <c r="D416" s="191">
        <v>2010</v>
      </c>
      <c r="E416" s="191" t="s">
        <v>49</v>
      </c>
      <c r="F416" s="193" t="s">
        <v>177</v>
      </c>
      <c r="G416" s="193" t="s">
        <v>426</v>
      </c>
      <c r="H416" s="193" t="s">
        <v>285</v>
      </c>
      <c r="I416" s="271">
        <f t="shared" si="69"/>
        <v>-13.143750000000001</v>
      </c>
      <c r="J416" s="271">
        <f t="shared" si="70"/>
        <v>-13.143750000000001</v>
      </c>
      <c r="L416" s="194">
        <f t="shared" si="71"/>
        <v>8.3333333333333339</v>
      </c>
    </row>
    <row r="417" spans="3:12">
      <c r="C417" s="191" t="s">
        <v>8</v>
      </c>
      <c r="D417" s="191">
        <v>2018</v>
      </c>
      <c r="E417" s="191" t="s">
        <v>49</v>
      </c>
      <c r="F417" s="193" t="s">
        <v>177</v>
      </c>
      <c r="G417" s="193" t="s">
        <v>426</v>
      </c>
      <c r="H417" s="193" t="s">
        <v>285</v>
      </c>
      <c r="I417" s="271">
        <f t="shared" si="69"/>
        <v>-13.143750000000001</v>
      </c>
      <c r="J417" s="271">
        <f t="shared" si="70"/>
        <v>-13.143750000000001</v>
      </c>
      <c r="L417" s="194">
        <f t="shared" si="71"/>
        <v>8.3333333333333339</v>
      </c>
    </row>
    <row r="418" spans="3:12">
      <c r="C418" s="191" t="s">
        <v>8</v>
      </c>
      <c r="D418" s="191">
        <v>2019</v>
      </c>
      <c r="E418" s="191" t="s">
        <v>49</v>
      </c>
      <c r="F418" s="193" t="s">
        <v>177</v>
      </c>
      <c r="G418" s="193" t="s">
        <v>426</v>
      </c>
      <c r="H418" s="193" t="s">
        <v>285</v>
      </c>
      <c r="I418" s="271">
        <f t="shared" si="69"/>
        <v>0</v>
      </c>
      <c r="J418" s="271">
        <f t="shared" si="70"/>
        <v>0</v>
      </c>
      <c r="L418" s="194">
        <f t="shared" si="71"/>
        <v>0</v>
      </c>
    </row>
    <row r="419" spans="3:12">
      <c r="C419" s="191" t="s">
        <v>8</v>
      </c>
      <c r="D419" s="191">
        <v>2010</v>
      </c>
      <c r="E419" s="191" t="s">
        <v>49</v>
      </c>
      <c r="F419" s="193" t="s">
        <v>179</v>
      </c>
      <c r="G419" s="193" t="s">
        <v>426</v>
      </c>
      <c r="H419" s="193" t="s">
        <v>285</v>
      </c>
      <c r="I419" s="271">
        <f t="shared" si="69"/>
        <v>-6.2787499999999996</v>
      </c>
      <c r="J419" s="271">
        <f t="shared" si="70"/>
        <v>-6.2787499999999996</v>
      </c>
      <c r="L419" s="194">
        <f t="shared" si="71"/>
        <v>10.583333333333336</v>
      </c>
    </row>
    <row r="420" spans="3:12">
      <c r="C420" s="191" t="s">
        <v>8</v>
      </c>
      <c r="D420" s="191">
        <v>2018</v>
      </c>
      <c r="E420" s="191" t="s">
        <v>49</v>
      </c>
      <c r="F420" s="193" t="s">
        <v>179</v>
      </c>
      <c r="G420" s="193" t="s">
        <v>426</v>
      </c>
      <c r="H420" s="193" t="s">
        <v>285</v>
      </c>
      <c r="I420" s="271">
        <f t="shared" si="69"/>
        <v>-6.2787499999999996</v>
      </c>
      <c r="J420" s="271">
        <f t="shared" si="70"/>
        <v>-6.2787499999999996</v>
      </c>
      <c r="L420" s="194">
        <f t="shared" si="71"/>
        <v>10.583333333333336</v>
      </c>
    </row>
    <row r="421" spans="3:12">
      <c r="C421" s="191" t="s">
        <v>8</v>
      </c>
      <c r="D421" s="191">
        <v>2019</v>
      </c>
      <c r="E421" s="191" t="s">
        <v>49</v>
      </c>
      <c r="F421" s="193" t="s">
        <v>179</v>
      </c>
      <c r="G421" s="193" t="s">
        <v>426</v>
      </c>
      <c r="H421" s="193" t="s">
        <v>285</v>
      </c>
      <c r="I421" s="271">
        <f t="shared" si="69"/>
        <v>0</v>
      </c>
      <c r="J421" s="271">
        <f t="shared" si="70"/>
        <v>0</v>
      </c>
      <c r="L421" s="194">
        <f t="shared" si="71"/>
        <v>0</v>
      </c>
    </row>
    <row r="422" spans="3:12">
      <c r="C422" s="191" t="s">
        <v>8</v>
      </c>
      <c r="D422" s="191">
        <v>2010</v>
      </c>
      <c r="E422" s="191" t="s">
        <v>49</v>
      </c>
      <c r="F422" s="193" t="s">
        <v>180</v>
      </c>
      <c r="G422" s="193" t="s">
        <v>426</v>
      </c>
      <c r="H422" s="193" t="s">
        <v>285</v>
      </c>
      <c r="I422" s="271">
        <f t="shared" si="69"/>
        <v>-6.3520833333333337</v>
      </c>
      <c r="J422" s="271">
        <f t="shared" si="70"/>
        <v>-6.3520833333333337</v>
      </c>
      <c r="L422" s="194">
        <f t="shared" si="71"/>
        <v>13.143750000000001</v>
      </c>
    </row>
    <row r="423" spans="3:12">
      <c r="C423" s="191" t="s">
        <v>8</v>
      </c>
      <c r="D423" s="191">
        <v>2018</v>
      </c>
      <c r="E423" s="191" t="s">
        <v>49</v>
      </c>
      <c r="F423" s="193" t="s">
        <v>180</v>
      </c>
      <c r="G423" s="193" t="s">
        <v>426</v>
      </c>
      <c r="H423" s="193" t="s">
        <v>285</v>
      </c>
      <c r="I423" s="271">
        <f t="shared" si="69"/>
        <v>-6.3520833333333337</v>
      </c>
      <c r="J423" s="271">
        <f t="shared" si="70"/>
        <v>-6.3520833333333337</v>
      </c>
      <c r="L423" s="194">
        <f t="shared" si="71"/>
        <v>13.143750000000001</v>
      </c>
    </row>
    <row r="424" spans="3:12">
      <c r="C424" s="191" t="s">
        <v>8</v>
      </c>
      <c r="D424" s="191">
        <v>2019</v>
      </c>
      <c r="E424" s="191" t="s">
        <v>49</v>
      </c>
      <c r="F424" s="193" t="s">
        <v>180</v>
      </c>
      <c r="G424" s="193" t="s">
        <v>426</v>
      </c>
      <c r="H424" s="193" t="s">
        <v>285</v>
      </c>
      <c r="I424" s="271">
        <f t="shared" si="69"/>
        <v>0</v>
      </c>
      <c r="J424" s="271">
        <f t="shared" si="70"/>
        <v>0</v>
      </c>
      <c r="L424" s="194">
        <f t="shared" si="71"/>
        <v>0</v>
      </c>
    </row>
    <row r="425" spans="3:12">
      <c r="C425" s="191" t="s">
        <v>8</v>
      </c>
      <c r="D425" s="191">
        <v>2010</v>
      </c>
      <c r="E425" s="191" t="s">
        <v>49</v>
      </c>
      <c r="F425" s="193" t="s">
        <v>424</v>
      </c>
      <c r="G425" s="193" t="s">
        <v>426</v>
      </c>
      <c r="H425" s="193" t="s">
        <v>285</v>
      </c>
      <c r="I425" s="271" t="e">
        <f t="shared" si="69"/>
        <v>#REF!</v>
      </c>
      <c r="J425" s="271" t="e">
        <f t="shared" si="70"/>
        <v>#REF!</v>
      </c>
      <c r="L425" s="194">
        <f t="shared" si="71"/>
        <v>6.2787499999999996</v>
      </c>
    </row>
    <row r="426" spans="3:12">
      <c r="C426" s="191" t="s">
        <v>8</v>
      </c>
      <c r="D426" s="191">
        <v>2018</v>
      </c>
      <c r="E426" s="191" t="s">
        <v>49</v>
      </c>
      <c r="F426" s="193" t="s">
        <v>424</v>
      </c>
      <c r="G426" s="193" t="s">
        <v>426</v>
      </c>
      <c r="H426" s="193" t="s">
        <v>285</v>
      </c>
      <c r="I426" s="271" t="e">
        <f t="shared" si="69"/>
        <v>#REF!</v>
      </c>
      <c r="J426" s="271" t="e">
        <f t="shared" si="70"/>
        <v>#REF!</v>
      </c>
      <c r="L426" s="194">
        <f t="shared" si="71"/>
        <v>6.2787499999999996</v>
      </c>
    </row>
    <row r="427" spans="3:12">
      <c r="C427" s="191" t="s">
        <v>8</v>
      </c>
      <c r="D427" s="191">
        <v>2019</v>
      </c>
      <c r="E427" s="191" t="s">
        <v>49</v>
      </c>
      <c r="F427" s="193" t="s">
        <v>424</v>
      </c>
      <c r="G427" s="193" t="s">
        <v>426</v>
      </c>
      <c r="H427" s="193" t="s">
        <v>285</v>
      </c>
      <c r="I427" s="271" t="e">
        <f t="shared" si="69"/>
        <v>#REF!</v>
      </c>
      <c r="J427" s="271" t="e">
        <f t="shared" si="70"/>
        <v>#REF!</v>
      </c>
      <c r="L427" s="194">
        <f t="shared" si="71"/>
        <v>0</v>
      </c>
    </row>
    <row r="428" spans="3:12">
      <c r="C428" s="191" t="s">
        <v>8</v>
      </c>
      <c r="D428" s="191">
        <v>2010</v>
      </c>
      <c r="E428" s="191" t="s">
        <v>49</v>
      </c>
      <c r="F428" s="193" t="s">
        <v>425</v>
      </c>
      <c r="G428" s="193" t="s">
        <v>426</v>
      </c>
      <c r="H428" s="193" t="s">
        <v>285</v>
      </c>
      <c r="I428" s="271">
        <f t="shared" ref="I428:I436" si="72">L290*-1</f>
        <v>-4.4133333333333331</v>
      </c>
      <c r="J428" s="271">
        <f t="shared" ref="J428:J436" si="73">I428</f>
        <v>-4.4133333333333331</v>
      </c>
      <c r="L428" s="194">
        <f t="shared" si="71"/>
        <v>6.3520833333333337</v>
      </c>
    </row>
    <row r="429" spans="3:12">
      <c r="C429" s="191" t="s">
        <v>8</v>
      </c>
      <c r="D429" s="191">
        <v>2018</v>
      </c>
      <c r="E429" s="191" t="s">
        <v>49</v>
      </c>
      <c r="F429" s="193" t="s">
        <v>425</v>
      </c>
      <c r="G429" s="193" t="s">
        <v>426</v>
      </c>
      <c r="H429" s="193" t="s">
        <v>285</v>
      </c>
      <c r="I429" s="271">
        <f t="shared" si="72"/>
        <v>-4.4133333333333331</v>
      </c>
      <c r="J429" s="271">
        <f t="shared" si="73"/>
        <v>-4.4133333333333331</v>
      </c>
      <c r="L429" s="194">
        <f t="shared" si="71"/>
        <v>6.3520833333333337</v>
      </c>
    </row>
    <row r="430" spans="3:12">
      <c r="C430" s="191" t="s">
        <v>8</v>
      </c>
      <c r="D430" s="191">
        <v>2019</v>
      </c>
      <c r="E430" s="191" t="s">
        <v>49</v>
      </c>
      <c r="F430" s="193" t="s">
        <v>425</v>
      </c>
      <c r="G430" s="193" t="s">
        <v>426</v>
      </c>
      <c r="H430" s="193" t="s">
        <v>285</v>
      </c>
      <c r="I430" s="271">
        <f t="shared" si="72"/>
        <v>0</v>
      </c>
      <c r="J430" s="271">
        <f t="shared" si="73"/>
        <v>0</v>
      </c>
      <c r="L430" s="194">
        <f t="shared" si="71"/>
        <v>0</v>
      </c>
    </row>
    <row r="431" spans="3:12">
      <c r="C431" s="191" t="s">
        <v>8</v>
      </c>
      <c r="D431" s="191">
        <v>2010</v>
      </c>
      <c r="E431" s="191" t="s">
        <v>49</v>
      </c>
      <c r="F431" s="193" t="s">
        <v>182</v>
      </c>
      <c r="G431" s="193" t="s">
        <v>426</v>
      </c>
      <c r="H431" s="193" t="s">
        <v>285</v>
      </c>
      <c r="I431" s="271">
        <f t="shared" si="72"/>
        <v>-7.3033333333333337</v>
      </c>
      <c r="J431" s="271">
        <f t="shared" si="73"/>
        <v>-7.3033333333333337</v>
      </c>
      <c r="L431" s="194" t="e">
        <f t="shared" si="71"/>
        <v>#REF!</v>
      </c>
    </row>
    <row r="432" spans="3:12">
      <c r="C432" s="191" t="s">
        <v>8</v>
      </c>
      <c r="D432" s="191">
        <v>2018</v>
      </c>
      <c r="E432" s="191" t="s">
        <v>49</v>
      </c>
      <c r="F432" s="193" t="s">
        <v>182</v>
      </c>
      <c r="G432" s="193" t="s">
        <v>426</v>
      </c>
      <c r="H432" s="193" t="s">
        <v>285</v>
      </c>
      <c r="I432" s="271">
        <f t="shared" si="72"/>
        <v>-7.3033333333333337</v>
      </c>
      <c r="J432" s="271">
        <f t="shared" si="73"/>
        <v>-7.3033333333333337</v>
      </c>
      <c r="L432" s="194" t="e">
        <f t="shared" si="71"/>
        <v>#REF!</v>
      </c>
    </row>
    <row r="433" spans="2:12">
      <c r="C433" s="191" t="s">
        <v>8</v>
      </c>
      <c r="D433" s="191">
        <v>2019</v>
      </c>
      <c r="E433" s="191" t="s">
        <v>49</v>
      </c>
      <c r="F433" s="193" t="s">
        <v>182</v>
      </c>
      <c r="G433" s="193" t="s">
        <v>426</v>
      </c>
      <c r="H433" s="193" t="s">
        <v>285</v>
      </c>
      <c r="I433" s="271">
        <f t="shared" si="72"/>
        <v>0</v>
      </c>
      <c r="J433" s="271">
        <f t="shared" si="73"/>
        <v>0</v>
      </c>
      <c r="L433" s="194" t="e">
        <f t="shared" ref="L433:L442" si="74">L289</f>
        <v>#REF!</v>
      </c>
    </row>
    <row r="434" spans="2:12">
      <c r="C434" s="191" t="s">
        <v>8</v>
      </c>
      <c r="D434" s="191">
        <v>2010</v>
      </c>
      <c r="E434" s="191" t="s">
        <v>49</v>
      </c>
      <c r="F434" s="193" t="s">
        <v>183</v>
      </c>
      <c r="G434" s="193" t="s">
        <v>426</v>
      </c>
      <c r="H434" s="193" t="s">
        <v>285</v>
      </c>
      <c r="I434" s="271">
        <f t="shared" si="72"/>
        <v>-7.2312500000000002</v>
      </c>
      <c r="J434" s="271">
        <f t="shared" si="73"/>
        <v>-7.2312500000000002</v>
      </c>
      <c r="L434" s="194">
        <f t="shared" si="74"/>
        <v>4.4133333333333331</v>
      </c>
    </row>
    <row r="435" spans="2:12">
      <c r="C435" s="191" t="s">
        <v>8</v>
      </c>
      <c r="D435" s="191">
        <v>2018</v>
      </c>
      <c r="E435" s="191" t="s">
        <v>49</v>
      </c>
      <c r="F435" s="193" t="s">
        <v>183</v>
      </c>
      <c r="G435" s="193" t="s">
        <v>426</v>
      </c>
      <c r="H435" s="193" t="s">
        <v>285</v>
      </c>
      <c r="I435" s="271">
        <f t="shared" si="72"/>
        <v>-7.2312500000000002</v>
      </c>
      <c r="J435" s="271">
        <f t="shared" si="73"/>
        <v>-7.2312500000000002</v>
      </c>
      <c r="L435" s="194">
        <f t="shared" si="74"/>
        <v>4.4133333333333331</v>
      </c>
    </row>
    <row r="436" spans="2:12">
      <c r="C436" s="191" t="s">
        <v>8</v>
      </c>
      <c r="D436" s="191">
        <v>2019</v>
      </c>
      <c r="E436" s="191" t="s">
        <v>49</v>
      </c>
      <c r="F436" s="193" t="s">
        <v>183</v>
      </c>
      <c r="G436" s="193" t="s">
        <v>426</v>
      </c>
      <c r="H436" s="193" t="s">
        <v>285</v>
      </c>
      <c r="I436" s="271">
        <f t="shared" si="72"/>
        <v>0</v>
      </c>
      <c r="J436" s="271">
        <f t="shared" si="73"/>
        <v>0</v>
      </c>
      <c r="L436" s="194">
        <f t="shared" si="74"/>
        <v>0</v>
      </c>
    </row>
    <row r="437" spans="2:12">
      <c r="L437" s="194">
        <f t="shared" si="74"/>
        <v>7.3033333333333337</v>
      </c>
    </row>
    <row r="438" spans="2:12">
      <c r="L438" s="194">
        <f t="shared" si="74"/>
        <v>7.3033333333333337</v>
      </c>
    </row>
    <row r="439" spans="2:12">
      <c r="L439" s="194">
        <f t="shared" si="74"/>
        <v>0</v>
      </c>
    </row>
    <row r="440" spans="2:12">
      <c r="L440" s="194">
        <f t="shared" si="74"/>
        <v>7.2312500000000002</v>
      </c>
    </row>
    <row r="441" spans="2:12" ht="14.4">
      <c r="B441" s="261"/>
      <c r="C441" s="264"/>
      <c r="D441" s="264"/>
      <c r="E441" s="264"/>
      <c r="F441" s="264"/>
      <c r="G441" s="264"/>
      <c r="H441" s="264"/>
      <c r="L441" s="194">
        <f t="shared" si="74"/>
        <v>7.2312500000000002</v>
      </c>
    </row>
    <row r="442" spans="2:12" ht="13.8" thickBot="1">
      <c r="B442" s="265" t="s">
        <v>4</v>
      </c>
      <c r="C442" s="265" t="s">
        <v>5</v>
      </c>
      <c r="D442" s="265" t="s">
        <v>1</v>
      </c>
      <c r="E442" s="266" t="s">
        <v>46</v>
      </c>
      <c r="F442" s="266" t="s">
        <v>7</v>
      </c>
      <c r="G442" s="267" t="s">
        <v>6</v>
      </c>
      <c r="H442" s="268" t="s">
        <v>43</v>
      </c>
      <c r="I442" s="268" t="s">
        <v>432</v>
      </c>
      <c r="J442" s="268" t="s">
        <v>433</v>
      </c>
      <c r="L442" s="194">
        <f t="shared" si="74"/>
        <v>0</v>
      </c>
    </row>
    <row r="443" spans="2:12">
      <c r="C443" s="191" t="s">
        <v>8</v>
      </c>
      <c r="D443" s="191">
        <v>2010</v>
      </c>
      <c r="E443" s="191" t="s">
        <v>49</v>
      </c>
      <c r="F443" s="193" t="s">
        <v>402</v>
      </c>
      <c r="G443" s="193" t="s">
        <v>427</v>
      </c>
      <c r="H443" s="193" t="s">
        <v>285</v>
      </c>
      <c r="I443" s="271">
        <f t="shared" ref="I443:I506" si="75">L305*-1</f>
        <v>-15</v>
      </c>
      <c r="J443" s="271">
        <f>I443</f>
        <v>-15</v>
      </c>
    </row>
    <row r="444" spans="2:12">
      <c r="C444" s="191" t="s">
        <v>8</v>
      </c>
      <c r="D444" s="191">
        <v>2018</v>
      </c>
      <c r="E444" s="191" t="s">
        <v>49</v>
      </c>
      <c r="F444" s="193" t="s">
        <v>402</v>
      </c>
      <c r="G444" s="193" t="s">
        <v>427</v>
      </c>
      <c r="H444" s="193" t="s">
        <v>285</v>
      </c>
      <c r="I444" s="271">
        <f t="shared" si="75"/>
        <v>-15</v>
      </c>
      <c r="J444" s="271">
        <f t="shared" ref="J444:J507" si="76">I444</f>
        <v>-15</v>
      </c>
    </row>
    <row r="445" spans="2:12">
      <c r="C445" s="191" t="s">
        <v>8</v>
      </c>
      <c r="D445" s="191">
        <v>2019</v>
      </c>
      <c r="E445" s="191" t="s">
        <v>49</v>
      </c>
      <c r="F445" s="193" t="s">
        <v>402</v>
      </c>
      <c r="G445" s="193" t="s">
        <v>427</v>
      </c>
      <c r="H445" s="193" t="s">
        <v>285</v>
      </c>
      <c r="I445" s="271">
        <f t="shared" si="75"/>
        <v>0</v>
      </c>
      <c r="J445" s="271">
        <f t="shared" si="76"/>
        <v>0</v>
      </c>
    </row>
    <row r="446" spans="2:12">
      <c r="C446" s="191" t="s">
        <v>8</v>
      </c>
      <c r="D446" s="191">
        <v>2010</v>
      </c>
      <c r="E446" s="191" t="s">
        <v>49</v>
      </c>
      <c r="F446" s="193" t="s">
        <v>404</v>
      </c>
      <c r="G446" s="193" t="s">
        <v>427</v>
      </c>
      <c r="H446" s="193" t="s">
        <v>285</v>
      </c>
      <c r="I446" s="271">
        <f t="shared" si="75"/>
        <v>-12.083333333333332</v>
      </c>
      <c r="J446" s="271">
        <f t="shared" si="76"/>
        <v>-12.083333333333332</v>
      </c>
    </row>
    <row r="447" spans="2:12">
      <c r="C447" s="191" t="s">
        <v>8</v>
      </c>
      <c r="D447" s="191">
        <v>2018</v>
      </c>
      <c r="E447" s="191" t="s">
        <v>49</v>
      </c>
      <c r="F447" s="193" t="s">
        <v>404</v>
      </c>
      <c r="G447" s="193" t="s">
        <v>427</v>
      </c>
      <c r="H447" s="193" t="s">
        <v>285</v>
      </c>
      <c r="I447" s="271">
        <f t="shared" si="75"/>
        <v>-12.083333333333332</v>
      </c>
      <c r="J447" s="271">
        <f t="shared" si="76"/>
        <v>-12.083333333333332</v>
      </c>
    </row>
    <row r="448" spans="2:12">
      <c r="C448" s="191" t="s">
        <v>8</v>
      </c>
      <c r="D448" s="191">
        <v>2019</v>
      </c>
      <c r="E448" s="191" t="s">
        <v>49</v>
      </c>
      <c r="F448" s="193" t="s">
        <v>404</v>
      </c>
      <c r="G448" s="193" t="s">
        <v>427</v>
      </c>
      <c r="H448" s="193" t="s">
        <v>285</v>
      </c>
      <c r="I448" s="271">
        <f t="shared" si="75"/>
        <v>0</v>
      </c>
      <c r="J448" s="271">
        <f t="shared" si="76"/>
        <v>0</v>
      </c>
    </row>
    <row r="449" spans="3:10">
      <c r="C449" s="191" t="s">
        <v>8</v>
      </c>
      <c r="D449" s="191">
        <v>2010</v>
      </c>
      <c r="E449" s="191" t="s">
        <v>49</v>
      </c>
      <c r="F449" s="193" t="s">
        <v>406</v>
      </c>
      <c r="G449" s="193" t="s">
        <v>427</v>
      </c>
      <c r="H449" s="193" t="s">
        <v>285</v>
      </c>
      <c r="I449" s="271">
        <f t="shared" si="75"/>
        <v>-12.083333333333332</v>
      </c>
      <c r="J449" s="271">
        <f t="shared" si="76"/>
        <v>-12.083333333333332</v>
      </c>
    </row>
    <row r="450" spans="3:10">
      <c r="C450" s="191" t="s">
        <v>8</v>
      </c>
      <c r="D450" s="191">
        <v>2018</v>
      </c>
      <c r="E450" s="191" t="s">
        <v>49</v>
      </c>
      <c r="F450" s="193" t="s">
        <v>406</v>
      </c>
      <c r="G450" s="193" t="s">
        <v>427</v>
      </c>
      <c r="H450" s="193" t="s">
        <v>285</v>
      </c>
      <c r="I450" s="271">
        <f t="shared" si="75"/>
        <v>-12.083333333333332</v>
      </c>
      <c r="J450" s="271">
        <f t="shared" si="76"/>
        <v>-12.083333333333332</v>
      </c>
    </row>
    <row r="451" spans="3:10">
      <c r="C451" s="191" t="s">
        <v>8</v>
      </c>
      <c r="D451" s="191">
        <v>2019</v>
      </c>
      <c r="E451" s="191" t="s">
        <v>49</v>
      </c>
      <c r="F451" s="193" t="s">
        <v>406</v>
      </c>
      <c r="G451" s="193" t="s">
        <v>427</v>
      </c>
      <c r="H451" s="193" t="s">
        <v>285</v>
      </c>
      <c r="I451" s="271">
        <f t="shared" si="75"/>
        <v>0</v>
      </c>
      <c r="J451" s="271">
        <f t="shared" si="76"/>
        <v>0</v>
      </c>
    </row>
    <row r="452" spans="3:10">
      <c r="C452" s="191" t="s">
        <v>8</v>
      </c>
      <c r="D452" s="191">
        <v>2010</v>
      </c>
      <c r="E452" s="191" t="s">
        <v>49</v>
      </c>
      <c r="F452" s="193" t="s">
        <v>407</v>
      </c>
      <c r="G452" s="193" t="s">
        <v>427</v>
      </c>
      <c r="H452" s="193" t="s">
        <v>285</v>
      </c>
      <c r="I452" s="271">
        <f t="shared" si="75"/>
        <v>-12.291666666666668</v>
      </c>
      <c r="J452" s="271">
        <f t="shared" si="76"/>
        <v>-12.291666666666668</v>
      </c>
    </row>
    <row r="453" spans="3:10">
      <c r="C453" s="191" t="s">
        <v>8</v>
      </c>
      <c r="D453" s="191">
        <v>2018</v>
      </c>
      <c r="E453" s="191" t="s">
        <v>49</v>
      </c>
      <c r="F453" s="193" t="s">
        <v>407</v>
      </c>
      <c r="G453" s="193" t="s">
        <v>427</v>
      </c>
      <c r="H453" s="193" t="s">
        <v>285</v>
      </c>
      <c r="I453" s="271">
        <f t="shared" si="75"/>
        <v>-12.291666666666668</v>
      </c>
      <c r="J453" s="271">
        <f t="shared" si="76"/>
        <v>-12.291666666666668</v>
      </c>
    </row>
    <row r="454" spans="3:10">
      <c r="C454" s="191" t="s">
        <v>8</v>
      </c>
      <c r="D454" s="191">
        <v>2019</v>
      </c>
      <c r="E454" s="191" t="s">
        <v>49</v>
      </c>
      <c r="F454" s="193" t="s">
        <v>407</v>
      </c>
      <c r="G454" s="193" t="s">
        <v>427</v>
      </c>
      <c r="H454" s="193" t="s">
        <v>285</v>
      </c>
      <c r="I454" s="271">
        <f t="shared" si="75"/>
        <v>0</v>
      </c>
      <c r="J454" s="271">
        <f t="shared" si="76"/>
        <v>0</v>
      </c>
    </row>
    <row r="455" spans="3:10">
      <c r="C455" s="191" t="s">
        <v>8</v>
      </c>
      <c r="D455" s="191">
        <v>2010</v>
      </c>
      <c r="E455" s="191" t="s">
        <v>49</v>
      </c>
      <c r="F455" s="193" t="s">
        <v>407</v>
      </c>
      <c r="G455" s="193" t="s">
        <v>427</v>
      </c>
      <c r="H455" s="193" t="s">
        <v>285</v>
      </c>
      <c r="I455" s="271">
        <f t="shared" si="75"/>
        <v>-12.291666666666668</v>
      </c>
      <c r="J455" s="271">
        <f t="shared" si="76"/>
        <v>-12.291666666666668</v>
      </c>
    </row>
    <row r="456" spans="3:10">
      <c r="C456" s="191" t="s">
        <v>8</v>
      </c>
      <c r="D456" s="191">
        <v>2018</v>
      </c>
      <c r="E456" s="191" t="s">
        <v>49</v>
      </c>
      <c r="F456" s="193" t="s">
        <v>407</v>
      </c>
      <c r="G456" s="193" t="s">
        <v>427</v>
      </c>
      <c r="H456" s="193" t="s">
        <v>285</v>
      </c>
      <c r="I456" s="271">
        <f t="shared" si="75"/>
        <v>-12.291666666666668</v>
      </c>
      <c r="J456" s="271">
        <f t="shared" si="76"/>
        <v>-12.291666666666668</v>
      </c>
    </row>
    <row r="457" spans="3:10">
      <c r="C457" s="191" t="s">
        <v>8</v>
      </c>
      <c r="D457" s="191">
        <v>2019</v>
      </c>
      <c r="E457" s="191" t="s">
        <v>49</v>
      </c>
      <c r="F457" s="193" t="s">
        <v>407</v>
      </c>
      <c r="G457" s="193" t="s">
        <v>427</v>
      </c>
      <c r="H457" s="193" t="s">
        <v>285</v>
      </c>
      <c r="I457" s="271">
        <f t="shared" si="75"/>
        <v>0</v>
      </c>
      <c r="J457" s="271">
        <f t="shared" si="76"/>
        <v>0</v>
      </c>
    </row>
    <row r="458" spans="3:10">
      <c r="C458" s="191" t="s">
        <v>8</v>
      </c>
      <c r="D458" s="191">
        <v>2010</v>
      </c>
      <c r="E458" s="191" t="s">
        <v>49</v>
      </c>
      <c r="F458" s="193" t="s">
        <v>408</v>
      </c>
      <c r="G458" s="193" t="s">
        <v>427</v>
      </c>
      <c r="H458" s="193" t="s">
        <v>285</v>
      </c>
      <c r="I458" s="271">
        <f t="shared" si="75"/>
        <v>-12.083333333333332</v>
      </c>
      <c r="J458" s="271">
        <f t="shared" si="76"/>
        <v>-12.083333333333332</v>
      </c>
    </row>
    <row r="459" spans="3:10">
      <c r="C459" s="191" t="s">
        <v>8</v>
      </c>
      <c r="D459" s="191">
        <v>2018</v>
      </c>
      <c r="E459" s="191" t="s">
        <v>49</v>
      </c>
      <c r="F459" s="193" t="s">
        <v>408</v>
      </c>
      <c r="G459" s="193" t="s">
        <v>427</v>
      </c>
      <c r="H459" s="193" t="s">
        <v>285</v>
      </c>
      <c r="I459" s="271">
        <f t="shared" si="75"/>
        <v>-12.083333333333332</v>
      </c>
      <c r="J459" s="271">
        <f t="shared" si="76"/>
        <v>-12.083333333333332</v>
      </c>
    </row>
    <row r="460" spans="3:10">
      <c r="C460" s="191" t="s">
        <v>8</v>
      </c>
      <c r="D460" s="191">
        <v>2019</v>
      </c>
      <c r="E460" s="191" t="s">
        <v>49</v>
      </c>
      <c r="F460" s="193" t="s">
        <v>408</v>
      </c>
      <c r="G460" s="193" t="s">
        <v>427</v>
      </c>
      <c r="H460" s="193" t="s">
        <v>285</v>
      </c>
      <c r="I460" s="271">
        <f t="shared" si="75"/>
        <v>0</v>
      </c>
      <c r="J460" s="271">
        <f t="shared" si="76"/>
        <v>0</v>
      </c>
    </row>
    <row r="461" spans="3:10">
      <c r="C461" s="191" t="s">
        <v>8</v>
      </c>
      <c r="D461" s="191">
        <v>2010</v>
      </c>
      <c r="E461" s="191" t="s">
        <v>49</v>
      </c>
      <c r="F461" s="193" t="s">
        <v>409</v>
      </c>
      <c r="G461" s="193" t="s">
        <v>427</v>
      </c>
      <c r="H461" s="193" t="s">
        <v>285</v>
      </c>
      <c r="I461" s="271">
        <f t="shared" si="75"/>
        <v>-10.416666666666668</v>
      </c>
      <c r="J461" s="271">
        <f t="shared" si="76"/>
        <v>-10.416666666666668</v>
      </c>
    </row>
    <row r="462" spans="3:10">
      <c r="C462" s="191" t="s">
        <v>8</v>
      </c>
      <c r="D462" s="191">
        <v>2018</v>
      </c>
      <c r="E462" s="191" t="s">
        <v>49</v>
      </c>
      <c r="F462" s="193" t="s">
        <v>409</v>
      </c>
      <c r="G462" s="193" t="s">
        <v>427</v>
      </c>
      <c r="H462" s="193" t="s">
        <v>285</v>
      </c>
      <c r="I462" s="271">
        <f t="shared" si="75"/>
        <v>-10.416666666666668</v>
      </c>
      <c r="J462" s="271">
        <f t="shared" si="76"/>
        <v>-10.416666666666668</v>
      </c>
    </row>
    <row r="463" spans="3:10">
      <c r="C463" s="191" t="s">
        <v>8</v>
      </c>
      <c r="D463" s="191">
        <v>2019</v>
      </c>
      <c r="E463" s="191" t="s">
        <v>49</v>
      </c>
      <c r="F463" s="193" t="s">
        <v>409</v>
      </c>
      <c r="G463" s="193" t="s">
        <v>427</v>
      </c>
      <c r="H463" s="193" t="s">
        <v>285</v>
      </c>
      <c r="I463" s="271">
        <f t="shared" si="75"/>
        <v>0</v>
      </c>
      <c r="J463" s="271">
        <f t="shared" si="76"/>
        <v>0</v>
      </c>
    </row>
    <row r="464" spans="3:10">
      <c r="C464" s="191" t="s">
        <v>8</v>
      </c>
      <c r="D464" s="191">
        <v>2010</v>
      </c>
      <c r="E464" s="191" t="s">
        <v>49</v>
      </c>
      <c r="F464" s="193" t="s">
        <v>410</v>
      </c>
      <c r="G464" s="193" t="s">
        <v>427</v>
      </c>
      <c r="H464" s="193" t="s">
        <v>285</v>
      </c>
      <c r="I464" s="271">
        <f t="shared" si="75"/>
        <v>-12.083333333333332</v>
      </c>
      <c r="J464" s="271">
        <f t="shared" si="76"/>
        <v>-12.083333333333332</v>
      </c>
    </row>
    <row r="465" spans="3:10">
      <c r="C465" s="191" t="s">
        <v>8</v>
      </c>
      <c r="D465" s="191">
        <v>2018</v>
      </c>
      <c r="E465" s="191" t="s">
        <v>49</v>
      </c>
      <c r="F465" s="193" t="s">
        <v>410</v>
      </c>
      <c r="G465" s="193" t="s">
        <v>427</v>
      </c>
      <c r="H465" s="193" t="s">
        <v>285</v>
      </c>
      <c r="I465" s="271">
        <f t="shared" si="75"/>
        <v>-12.083333333333332</v>
      </c>
      <c r="J465" s="271">
        <f t="shared" si="76"/>
        <v>-12.083333333333332</v>
      </c>
    </row>
    <row r="466" spans="3:10">
      <c r="C466" s="191" t="s">
        <v>8</v>
      </c>
      <c r="D466" s="191">
        <v>2019</v>
      </c>
      <c r="E466" s="191" t="s">
        <v>49</v>
      </c>
      <c r="F466" s="193" t="s">
        <v>410</v>
      </c>
      <c r="G466" s="193" t="s">
        <v>427</v>
      </c>
      <c r="H466" s="193" t="s">
        <v>285</v>
      </c>
      <c r="I466" s="271">
        <f t="shared" si="75"/>
        <v>0</v>
      </c>
      <c r="J466" s="271">
        <f t="shared" si="76"/>
        <v>0</v>
      </c>
    </row>
    <row r="467" spans="3:10">
      <c r="C467" s="191" t="s">
        <v>8</v>
      </c>
      <c r="D467" s="191">
        <v>2010</v>
      </c>
      <c r="E467" s="191" t="s">
        <v>49</v>
      </c>
      <c r="F467" s="193" t="s">
        <v>411</v>
      </c>
      <c r="G467" s="193" t="s">
        <v>427</v>
      </c>
      <c r="H467" s="193" t="s">
        <v>285</v>
      </c>
      <c r="I467" s="271">
        <f t="shared" si="75"/>
        <v>-12.291666666666668</v>
      </c>
      <c r="J467" s="271">
        <f t="shared" si="76"/>
        <v>-12.291666666666668</v>
      </c>
    </row>
    <row r="468" spans="3:10">
      <c r="C468" s="191" t="s">
        <v>8</v>
      </c>
      <c r="D468" s="191">
        <v>2018</v>
      </c>
      <c r="E468" s="191" t="s">
        <v>49</v>
      </c>
      <c r="F468" s="193" t="s">
        <v>411</v>
      </c>
      <c r="G468" s="193" t="s">
        <v>427</v>
      </c>
      <c r="H468" s="193" t="s">
        <v>285</v>
      </c>
      <c r="I468" s="271">
        <f t="shared" si="75"/>
        <v>-12.291666666666668</v>
      </c>
      <c r="J468" s="271">
        <f t="shared" si="76"/>
        <v>-12.291666666666668</v>
      </c>
    </row>
    <row r="469" spans="3:10">
      <c r="C469" s="191" t="s">
        <v>8</v>
      </c>
      <c r="D469" s="191">
        <v>2019</v>
      </c>
      <c r="E469" s="191" t="s">
        <v>49</v>
      </c>
      <c r="F469" s="193" t="s">
        <v>411</v>
      </c>
      <c r="G469" s="193" t="s">
        <v>427</v>
      </c>
      <c r="H469" s="193" t="s">
        <v>285</v>
      </c>
      <c r="I469" s="271">
        <f t="shared" si="75"/>
        <v>0</v>
      </c>
      <c r="J469" s="271">
        <f t="shared" si="76"/>
        <v>0</v>
      </c>
    </row>
    <row r="470" spans="3:10">
      <c r="C470" s="191" t="s">
        <v>8</v>
      </c>
      <c r="D470" s="191">
        <v>2010</v>
      </c>
      <c r="E470" s="191" t="s">
        <v>49</v>
      </c>
      <c r="F470" s="193" t="s">
        <v>163</v>
      </c>
      <c r="G470" s="193" t="s">
        <v>427</v>
      </c>
      <c r="H470" s="193" t="s">
        <v>285</v>
      </c>
      <c r="I470" s="271">
        <f t="shared" si="75"/>
        <v>-10.044166666666666</v>
      </c>
      <c r="J470" s="271">
        <f t="shared" si="76"/>
        <v>-10.044166666666666</v>
      </c>
    </row>
    <row r="471" spans="3:10">
      <c r="C471" s="191" t="s">
        <v>8</v>
      </c>
      <c r="D471" s="191">
        <v>2018</v>
      </c>
      <c r="E471" s="191" t="s">
        <v>49</v>
      </c>
      <c r="F471" s="193" t="s">
        <v>163</v>
      </c>
      <c r="G471" s="193" t="s">
        <v>427</v>
      </c>
      <c r="H471" s="193" t="s">
        <v>285</v>
      </c>
      <c r="I471" s="271">
        <f t="shared" si="75"/>
        <v>-10.044166666666666</v>
      </c>
      <c r="J471" s="271">
        <f t="shared" si="76"/>
        <v>-10.044166666666666</v>
      </c>
    </row>
    <row r="472" spans="3:10">
      <c r="C472" s="191" t="s">
        <v>8</v>
      </c>
      <c r="D472" s="191">
        <v>2019</v>
      </c>
      <c r="E472" s="191" t="s">
        <v>49</v>
      </c>
      <c r="F472" s="193" t="s">
        <v>163</v>
      </c>
      <c r="G472" s="193" t="s">
        <v>427</v>
      </c>
      <c r="H472" s="193" t="s">
        <v>285</v>
      </c>
      <c r="I472" s="271">
        <f t="shared" si="75"/>
        <v>0</v>
      </c>
      <c r="J472" s="271">
        <f t="shared" si="76"/>
        <v>0</v>
      </c>
    </row>
    <row r="473" spans="3:10">
      <c r="C473" s="191" t="s">
        <v>8</v>
      </c>
      <c r="D473" s="191">
        <v>2010</v>
      </c>
      <c r="E473" s="191" t="s">
        <v>49</v>
      </c>
      <c r="F473" s="193" t="s">
        <v>164</v>
      </c>
      <c r="G473" s="193" t="s">
        <v>427</v>
      </c>
      <c r="H473" s="193" t="s">
        <v>285</v>
      </c>
      <c r="I473" s="271">
        <f t="shared" si="75"/>
        <v>-4.8104166666666668</v>
      </c>
      <c r="J473" s="271">
        <f t="shared" si="76"/>
        <v>-4.8104166666666668</v>
      </c>
    </row>
    <row r="474" spans="3:10">
      <c r="C474" s="191" t="s">
        <v>8</v>
      </c>
      <c r="D474" s="191">
        <v>2018</v>
      </c>
      <c r="E474" s="191" t="s">
        <v>49</v>
      </c>
      <c r="F474" s="193" t="s">
        <v>164</v>
      </c>
      <c r="G474" s="193" t="s">
        <v>427</v>
      </c>
      <c r="H474" s="193" t="s">
        <v>285</v>
      </c>
      <c r="I474" s="271">
        <f t="shared" si="75"/>
        <v>-4.8104166666666668</v>
      </c>
      <c r="J474" s="271">
        <f t="shared" si="76"/>
        <v>-4.8104166666666668</v>
      </c>
    </row>
    <row r="475" spans="3:10">
      <c r="C475" s="191" t="s">
        <v>8</v>
      </c>
      <c r="D475" s="191">
        <v>2019</v>
      </c>
      <c r="E475" s="191" t="s">
        <v>49</v>
      </c>
      <c r="F475" s="193" t="s">
        <v>164</v>
      </c>
      <c r="G475" s="193" t="s">
        <v>427</v>
      </c>
      <c r="H475" s="193" t="s">
        <v>285</v>
      </c>
      <c r="I475" s="271">
        <f t="shared" si="75"/>
        <v>0</v>
      </c>
      <c r="J475" s="271">
        <f t="shared" si="76"/>
        <v>0</v>
      </c>
    </row>
    <row r="476" spans="3:10">
      <c r="C476" s="191" t="s">
        <v>8</v>
      </c>
      <c r="D476" s="191">
        <v>2010</v>
      </c>
      <c r="E476" s="191" t="s">
        <v>49</v>
      </c>
      <c r="F476" s="193" t="s">
        <v>412</v>
      </c>
      <c r="G476" s="193" t="s">
        <v>427</v>
      </c>
      <c r="H476" s="193" t="s">
        <v>285</v>
      </c>
      <c r="I476" s="271">
        <f t="shared" si="75"/>
        <v>-7.7083333333333339</v>
      </c>
      <c r="J476" s="271">
        <f t="shared" si="76"/>
        <v>-7.7083333333333339</v>
      </c>
    </row>
    <row r="477" spans="3:10">
      <c r="C477" s="191" t="s">
        <v>8</v>
      </c>
      <c r="D477" s="191">
        <v>2018</v>
      </c>
      <c r="E477" s="191" t="s">
        <v>49</v>
      </c>
      <c r="F477" s="193" t="s">
        <v>412</v>
      </c>
      <c r="G477" s="193" t="s">
        <v>427</v>
      </c>
      <c r="H477" s="193" t="s">
        <v>285</v>
      </c>
      <c r="I477" s="271">
        <f t="shared" si="75"/>
        <v>-7.7083333333333339</v>
      </c>
      <c r="J477" s="271">
        <f t="shared" si="76"/>
        <v>-7.7083333333333339</v>
      </c>
    </row>
    <row r="478" spans="3:10">
      <c r="C478" s="191" t="s">
        <v>8</v>
      </c>
      <c r="D478" s="191">
        <v>2019</v>
      </c>
      <c r="E478" s="191" t="s">
        <v>49</v>
      </c>
      <c r="F478" s="193" t="s">
        <v>412</v>
      </c>
      <c r="G478" s="193" t="s">
        <v>427</v>
      </c>
      <c r="H478" s="193" t="s">
        <v>285</v>
      </c>
      <c r="I478" s="271">
        <f t="shared" si="75"/>
        <v>0</v>
      </c>
      <c r="J478" s="271">
        <f t="shared" si="76"/>
        <v>0</v>
      </c>
    </row>
    <row r="479" spans="3:10">
      <c r="C479" s="191" t="s">
        <v>8</v>
      </c>
      <c r="D479" s="191">
        <v>2010</v>
      </c>
      <c r="E479" s="191" t="s">
        <v>49</v>
      </c>
      <c r="F479" s="193" t="s">
        <v>413</v>
      </c>
      <c r="G479" s="193" t="s">
        <v>427</v>
      </c>
      <c r="H479" s="193" t="s">
        <v>285</v>
      </c>
      <c r="I479" s="271">
        <f t="shared" si="75"/>
        <v>-7.2195833333333335</v>
      </c>
      <c r="J479" s="271">
        <f t="shared" si="76"/>
        <v>-7.2195833333333335</v>
      </c>
    </row>
    <row r="480" spans="3:10">
      <c r="C480" s="191" t="s">
        <v>8</v>
      </c>
      <c r="D480" s="191">
        <v>2018</v>
      </c>
      <c r="E480" s="191" t="s">
        <v>49</v>
      </c>
      <c r="F480" s="193" t="s">
        <v>413</v>
      </c>
      <c r="G480" s="193" t="s">
        <v>427</v>
      </c>
      <c r="H480" s="193" t="s">
        <v>285</v>
      </c>
      <c r="I480" s="271">
        <f t="shared" si="75"/>
        <v>-7.2195833333333335</v>
      </c>
      <c r="J480" s="271">
        <f t="shared" si="76"/>
        <v>-7.2195833333333335</v>
      </c>
    </row>
    <row r="481" spans="3:10">
      <c r="C481" s="191" t="s">
        <v>8</v>
      </c>
      <c r="D481" s="191">
        <v>2019</v>
      </c>
      <c r="E481" s="191" t="s">
        <v>49</v>
      </c>
      <c r="F481" s="193" t="s">
        <v>413</v>
      </c>
      <c r="G481" s="193" t="s">
        <v>427</v>
      </c>
      <c r="H481" s="193" t="s">
        <v>285</v>
      </c>
      <c r="I481" s="271">
        <f t="shared" si="75"/>
        <v>0</v>
      </c>
      <c r="J481" s="271">
        <f t="shared" si="76"/>
        <v>0</v>
      </c>
    </row>
    <row r="482" spans="3:10">
      <c r="C482" s="191" t="s">
        <v>8</v>
      </c>
      <c r="D482" s="191">
        <v>2010</v>
      </c>
      <c r="E482" s="191" t="s">
        <v>49</v>
      </c>
      <c r="F482" s="193" t="s">
        <v>414</v>
      </c>
      <c r="G482" s="193" t="s">
        <v>427</v>
      </c>
      <c r="H482" s="193" t="s">
        <v>285</v>
      </c>
      <c r="I482" s="271">
        <f t="shared" si="75"/>
        <v>-9.3179166666666671</v>
      </c>
      <c r="J482" s="271">
        <f t="shared" si="76"/>
        <v>-9.3179166666666671</v>
      </c>
    </row>
    <row r="483" spans="3:10">
      <c r="C483" s="191" t="s">
        <v>8</v>
      </c>
      <c r="D483" s="191">
        <v>2018</v>
      </c>
      <c r="E483" s="191" t="s">
        <v>49</v>
      </c>
      <c r="F483" s="193" t="s">
        <v>414</v>
      </c>
      <c r="G483" s="193" t="s">
        <v>427</v>
      </c>
      <c r="H483" s="193" t="s">
        <v>285</v>
      </c>
      <c r="I483" s="271">
        <f t="shared" si="75"/>
        <v>-9.3179166666666671</v>
      </c>
      <c r="J483" s="271">
        <f t="shared" si="76"/>
        <v>-9.3179166666666671</v>
      </c>
    </row>
    <row r="484" spans="3:10">
      <c r="C484" s="191" t="s">
        <v>8</v>
      </c>
      <c r="D484" s="191">
        <v>2019</v>
      </c>
      <c r="E484" s="191" t="s">
        <v>49</v>
      </c>
      <c r="F484" s="193" t="s">
        <v>414</v>
      </c>
      <c r="G484" s="193" t="s">
        <v>427</v>
      </c>
      <c r="H484" s="193" t="s">
        <v>285</v>
      </c>
      <c r="I484" s="271">
        <f t="shared" si="75"/>
        <v>0</v>
      </c>
      <c r="J484" s="271">
        <f t="shared" si="76"/>
        <v>0</v>
      </c>
    </row>
    <row r="485" spans="3:10">
      <c r="C485" s="191" t="s">
        <v>8</v>
      </c>
      <c r="D485" s="191">
        <v>2010</v>
      </c>
      <c r="E485" s="191" t="s">
        <v>49</v>
      </c>
      <c r="F485" s="193" t="s">
        <v>166</v>
      </c>
      <c r="G485" s="193" t="s">
        <v>427</v>
      </c>
      <c r="H485" s="193" t="s">
        <v>285</v>
      </c>
      <c r="I485" s="271">
        <f t="shared" si="75"/>
        <v>-5.915</v>
      </c>
      <c r="J485" s="271">
        <f t="shared" si="76"/>
        <v>-5.915</v>
      </c>
    </row>
    <row r="486" spans="3:10">
      <c r="C486" s="191" t="s">
        <v>8</v>
      </c>
      <c r="D486" s="191">
        <v>2018</v>
      </c>
      <c r="E486" s="191" t="s">
        <v>49</v>
      </c>
      <c r="F486" s="193" t="s">
        <v>166</v>
      </c>
      <c r="G486" s="193" t="s">
        <v>427</v>
      </c>
      <c r="H486" s="193" t="s">
        <v>285</v>
      </c>
      <c r="I486" s="271">
        <f t="shared" si="75"/>
        <v>-5.915</v>
      </c>
      <c r="J486" s="271">
        <f t="shared" si="76"/>
        <v>-5.915</v>
      </c>
    </row>
    <row r="487" spans="3:10">
      <c r="C487" s="191" t="s">
        <v>8</v>
      </c>
      <c r="D487" s="191">
        <v>2019</v>
      </c>
      <c r="E487" s="191" t="s">
        <v>49</v>
      </c>
      <c r="F487" s="193" t="s">
        <v>166</v>
      </c>
      <c r="G487" s="193" t="s">
        <v>427</v>
      </c>
      <c r="H487" s="193" t="s">
        <v>285</v>
      </c>
      <c r="I487" s="271">
        <f t="shared" si="75"/>
        <v>0</v>
      </c>
      <c r="J487" s="271">
        <f t="shared" si="76"/>
        <v>0</v>
      </c>
    </row>
    <row r="488" spans="3:10">
      <c r="C488" s="191" t="s">
        <v>8</v>
      </c>
      <c r="D488" s="191">
        <v>2010</v>
      </c>
      <c r="E488" s="191" t="s">
        <v>49</v>
      </c>
      <c r="F488" s="193" t="s">
        <v>167</v>
      </c>
      <c r="G488" s="193" t="s">
        <v>427</v>
      </c>
      <c r="H488" s="193" t="s">
        <v>285</v>
      </c>
      <c r="I488" s="271">
        <f t="shared" si="75"/>
        <v>-9.6925000000000008</v>
      </c>
      <c r="J488" s="271">
        <f t="shared" si="76"/>
        <v>-9.6925000000000008</v>
      </c>
    </row>
    <row r="489" spans="3:10">
      <c r="C489" s="191" t="s">
        <v>8</v>
      </c>
      <c r="D489" s="191">
        <v>2018</v>
      </c>
      <c r="E489" s="191" t="s">
        <v>49</v>
      </c>
      <c r="F489" s="193" t="s">
        <v>167</v>
      </c>
      <c r="G489" s="193" t="s">
        <v>427</v>
      </c>
      <c r="H489" s="193" t="s">
        <v>285</v>
      </c>
      <c r="I489" s="271">
        <f t="shared" si="75"/>
        <v>-9.6925000000000008</v>
      </c>
      <c r="J489" s="271">
        <f t="shared" si="76"/>
        <v>-9.6925000000000008</v>
      </c>
    </row>
    <row r="490" spans="3:10">
      <c r="C490" s="191" t="s">
        <v>8</v>
      </c>
      <c r="D490" s="191">
        <v>2019</v>
      </c>
      <c r="E490" s="191" t="s">
        <v>49</v>
      </c>
      <c r="F490" s="193" t="s">
        <v>167</v>
      </c>
      <c r="G490" s="193" t="s">
        <v>427</v>
      </c>
      <c r="H490" s="193" t="s">
        <v>285</v>
      </c>
      <c r="I490" s="271">
        <f t="shared" si="75"/>
        <v>0</v>
      </c>
      <c r="J490" s="271">
        <f t="shared" si="76"/>
        <v>0</v>
      </c>
    </row>
    <row r="491" spans="3:10">
      <c r="C491" s="191" t="s">
        <v>8</v>
      </c>
      <c r="D491" s="191">
        <v>2010</v>
      </c>
      <c r="E491" s="191" t="s">
        <v>49</v>
      </c>
      <c r="F491" s="193" t="s">
        <v>415</v>
      </c>
      <c r="G491" s="193" t="s">
        <v>427</v>
      </c>
      <c r="H491" s="193" t="s">
        <v>285</v>
      </c>
      <c r="I491" s="271">
        <f t="shared" si="75"/>
        <v>-3.9658333333333333</v>
      </c>
      <c r="J491" s="271">
        <f t="shared" si="76"/>
        <v>-3.9658333333333333</v>
      </c>
    </row>
    <row r="492" spans="3:10">
      <c r="C492" s="191" t="s">
        <v>8</v>
      </c>
      <c r="D492" s="191">
        <v>2018</v>
      </c>
      <c r="E492" s="191" t="s">
        <v>49</v>
      </c>
      <c r="F492" s="193" t="s">
        <v>415</v>
      </c>
      <c r="G492" s="193" t="s">
        <v>427</v>
      </c>
      <c r="H492" s="193" t="s">
        <v>285</v>
      </c>
      <c r="I492" s="271">
        <f t="shared" si="75"/>
        <v>-3.9658333333333333</v>
      </c>
      <c r="J492" s="271">
        <f t="shared" si="76"/>
        <v>-3.9658333333333333</v>
      </c>
    </row>
    <row r="493" spans="3:10">
      <c r="C493" s="191" t="s">
        <v>8</v>
      </c>
      <c r="D493" s="191">
        <v>2019</v>
      </c>
      <c r="E493" s="191" t="s">
        <v>49</v>
      </c>
      <c r="F493" s="193" t="s">
        <v>415</v>
      </c>
      <c r="G493" s="193" t="s">
        <v>427</v>
      </c>
      <c r="H493" s="193" t="s">
        <v>285</v>
      </c>
      <c r="I493" s="271">
        <f t="shared" si="75"/>
        <v>0</v>
      </c>
      <c r="J493" s="271">
        <f t="shared" si="76"/>
        <v>0</v>
      </c>
    </row>
    <row r="494" spans="3:10">
      <c r="C494" s="191" t="s">
        <v>8</v>
      </c>
      <c r="D494" s="191">
        <v>2010</v>
      </c>
      <c r="E494" s="191" t="s">
        <v>49</v>
      </c>
      <c r="F494" s="193" t="s">
        <v>416</v>
      </c>
      <c r="G494" s="193" t="s">
        <v>427</v>
      </c>
      <c r="H494" s="193" t="s">
        <v>285</v>
      </c>
      <c r="I494" s="271">
        <f t="shared" si="75"/>
        <v>-8.75</v>
      </c>
      <c r="J494" s="271">
        <f t="shared" si="76"/>
        <v>-8.75</v>
      </c>
    </row>
    <row r="495" spans="3:10">
      <c r="C495" s="191" t="s">
        <v>8</v>
      </c>
      <c r="D495" s="191">
        <v>2018</v>
      </c>
      <c r="E495" s="191" t="s">
        <v>49</v>
      </c>
      <c r="F495" s="193" t="s">
        <v>416</v>
      </c>
      <c r="G495" s="193" t="s">
        <v>427</v>
      </c>
      <c r="H495" s="193" t="s">
        <v>285</v>
      </c>
      <c r="I495" s="271">
        <f t="shared" si="75"/>
        <v>-8.75</v>
      </c>
      <c r="J495" s="271">
        <f t="shared" si="76"/>
        <v>-8.75</v>
      </c>
    </row>
    <row r="496" spans="3:10">
      <c r="C496" s="191" t="s">
        <v>8</v>
      </c>
      <c r="D496" s="191">
        <v>2019</v>
      </c>
      <c r="E496" s="191" t="s">
        <v>49</v>
      </c>
      <c r="F496" s="193" t="s">
        <v>416</v>
      </c>
      <c r="G496" s="193" t="s">
        <v>427</v>
      </c>
      <c r="H496" s="193" t="s">
        <v>285</v>
      </c>
      <c r="I496" s="271">
        <f t="shared" si="75"/>
        <v>0</v>
      </c>
      <c r="J496" s="271">
        <f t="shared" si="76"/>
        <v>0</v>
      </c>
    </row>
    <row r="497" spans="3:10">
      <c r="C497" s="191" t="s">
        <v>8</v>
      </c>
      <c r="D497" s="191">
        <v>2010</v>
      </c>
      <c r="E497" s="191" t="s">
        <v>49</v>
      </c>
      <c r="F497" s="273" t="s">
        <v>175</v>
      </c>
      <c r="G497" s="193" t="s">
        <v>427</v>
      </c>
      <c r="H497" s="193" t="s">
        <v>285</v>
      </c>
      <c r="I497" s="271">
        <f t="shared" si="75"/>
        <v>-10.583333333333336</v>
      </c>
      <c r="J497" s="271">
        <f t="shared" si="76"/>
        <v>-10.583333333333336</v>
      </c>
    </row>
    <row r="498" spans="3:10">
      <c r="C498" s="191" t="s">
        <v>8</v>
      </c>
      <c r="D498" s="191">
        <v>2018</v>
      </c>
      <c r="E498" s="191" t="s">
        <v>49</v>
      </c>
      <c r="F498" s="273" t="s">
        <v>175</v>
      </c>
      <c r="G498" s="193" t="s">
        <v>427</v>
      </c>
      <c r="H498" s="193" t="s">
        <v>285</v>
      </c>
      <c r="I498" s="271">
        <f t="shared" si="75"/>
        <v>-10.583333333333336</v>
      </c>
      <c r="J498" s="271">
        <f t="shared" si="76"/>
        <v>-10.583333333333336</v>
      </c>
    </row>
    <row r="499" spans="3:10">
      <c r="C499" s="191" t="s">
        <v>8</v>
      </c>
      <c r="D499" s="191">
        <v>2019</v>
      </c>
      <c r="E499" s="191" t="s">
        <v>49</v>
      </c>
      <c r="F499" s="273" t="s">
        <v>175</v>
      </c>
      <c r="G499" s="193" t="s">
        <v>427</v>
      </c>
      <c r="H499" s="193" t="s">
        <v>285</v>
      </c>
      <c r="I499" s="271">
        <f t="shared" si="75"/>
        <v>0</v>
      </c>
      <c r="J499" s="271">
        <f t="shared" si="76"/>
        <v>0</v>
      </c>
    </row>
    <row r="500" spans="3:10">
      <c r="C500" s="191" t="s">
        <v>8</v>
      </c>
      <c r="D500" s="191">
        <v>2010</v>
      </c>
      <c r="E500" s="191" t="s">
        <v>49</v>
      </c>
      <c r="F500" s="193" t="s">
        <v>417</v>
      </c>
      <c r="G500" s="193" t="s">
        <v>427</v>
      </c>
      <c r="H500" s="193" t="s">
        <v>285</v>
      </c>
      <c r="I500" s="271">
        <f t="shared" si="75"/>
        <v>-10.15375</v>
      </c>
      <c r="J500" s="271">
        <f t="shared" si="76"/>
        <v>-10.15375</v>
      </c>
    </row>
    <row r="501" spans="3:10">
      <c r="C501" s="191" t="s">
        <v>8</v>
      </c>
      <c r="D501" s="191">
        <v>2018</v>
      </c>
      <c r="E501" s="191" t="s">
        <v>49</v>
      </c>
      <c r="F501" s="193" t="s">
        <v>417</v>
      </c>
      <c r="G501" s="193" t="s">
        <v>427</v>
      </c>
      <c r="H501" s="193" t="s">
        <v>285</v>
      </c>
      <c r="I501" s="271">
        <f t="shared" si="75"/>
        <v>-10.15375</v>
      </c>
      <c r="J501" s="271">
        <f t="shared" si="76"/>
        <v>-10.15375</v>
      </c>
    </row>
    <row r="502" spans="3:10">
      <c r="C502" s="191" t="s">
        <v>8</v>
      </c>
      <c r="D502" s="191">
        <v>2019</v>
      </c>
      <c r="E502" s="191" t="s">
        <v>49</v>
      </c>
      <c r="F502" s="193" t="s">
        <v>417</v>
      </c>
      <c r="G502" s="193" t="s">
        <v>427</v>
      </c>
      <c r="H502" s="193" t="s">
        <v>285</v>
      </c>
      <c r="I502" s="271">
        <f t="shared" si="75"/>
        <v>0</v>
      </c>
      <c r="J502" s="271">
        <f t="shared" si="76"/>
        <v>0</v>
      </c>
    </row>
    <row r="503" spans="3:10">
      <c r="C503" s="191" t="s">
        <v>8</v>
      </c>
      <c r="D503" s="191">
        <v>2010</v>
      </c>
      <c r="E503" s="191" t="s">
        <v>49</v>
      </c>
      <c r="F503" s="193" t="s">
        <v>176</v>
      </c>
      <c r="G503" s="193" t="s">
        <v>427</v>
      </c>
      <c r="H503" s="193" t="s">
        <v>285</v>
      </c>
      <c r="I503" s="271">
        <f t="shared" si="75"/>
        <v>-5.915</v>
      </c>
      <c r="J503" s="271">
        <f t="shared" si="76"/>
        <v>-5.915</v>
      </c>
    </row>
    <row r="504" spans="3:10">
      <c r="C504" s="191" t="s">
        <v>8</v>
      </c>
      <c r="D504" s="191">
        <v>2018</v>
      </c>
      <c r="E504" s="191" t="s">
        <v>49</v>
      </c>
      <c r="F504" s="193" t="s">
        <v>176</v>
      </c>
      <c r="G504" s="193" t="s">
        <v>427</v>
      </c>
      <c r="H504" s="193" t="s">
        <v>285</v>
      </c>
      <c r="I504" s="271">
        <f t="shared" si="75"/>
        <v>-5.915</v>
      </c>
      <c r="J504" s="271">
        <f t="shared" si="76"/>
        <v>-5.915</v>
      </c>
    </row>
    <row r="505" spans="3:10">
      <c r="C505" s="191" t="s">
        <v>8</v>
      </c>
      <c r="D505" s="191">
        <v>2019</v>
      </c>
      <c r="E505" s="191" t="s">
        <v>49</v>
      </c>
      <c r="F505" s="193" t="s">
        <v>176</v>
      </c>
      <c r="G505" s="193" t="s">
        <v>427</v>
      </c>
      <c r="H505" s="193" t="s">
        <v>285</v>
      </c>
      <c r="I505" s="271">
        <f t="shared" si="75"/>
        <v>0</v>
      </c>
      <c r="J505" s="271">
        <f t="shared" si="76"/>
        <v>0</v>
      </c>
    </row>
    <row r="506" spans="3:10">
      <c r="C506" s="191" t="s">
        <v>8</v>
      </c>
      <c r="D506" s="191">
        <v>2010</v>
      </c>
      <c r="E506" s="191" t="s">
        <v>49</v>
      </c>
      <c r="F506" s="193" t="s">
        <v>418</v>
      </c>
      <c r="G506" s="193" t="s">
        <v>427</v>
      </c>
      <c r="H506" s="193" t="s">
        <v>285</v>
      </c>
      <c r="I506" s="271">
        <f t="shared" si="75"/>
        <v>-13.811666666666667</v>
      </c>
      <c r="J506" s="271">
        <f t="shared" si="76"/>
        <v>-13.811666666666667</v>
      </c>
    </row>
    <row r="507" spans="3:10">
      <c r="C507" s="191" t="s">
        <v>8</v>
      </c>
      <c r="D507" s="191">
        <v>2018</v>
      </c>
      <c r="E507" s="191" t="s">
        <v>49</v>
      </c>
      <c r="F507" s="193" t="s">
        <v>418</v>
      </c>
      <c r="G507" s="193" t="s">
        <v>427</v>
      </c>
      <c r="H507" s="193" t="s">
        <v>285</v>
      </c>
      <c r="I507" s="271">
        <f t="shared" ref="I507:I570" si="77">L369*-1</f>
        <v>-13.811666666666667</v>
      </c>
      <c r="J507" s="271">
        <f t="shared" si="76"/>
        <v>-13.811666666666667</v>
      </c>
    </row>
    <row r="508" spans="3:10">
      <c r="C508" s="191" t="s">
        <v>8</v>
      </c>
      <c r="D508" s="191">
        <v>2019</v>
      </c>
      <c r="E508" s="191" t="s">
        <v>49</v>
      </c>
      <c r="F508" s="193" t="s">
        <v>418</v>
      </c>
      <c r="G508" s="193" t="s">
        <v>427</v>
      </c>
      <c r="H508" s="193" t="s">
        <v>285</v>
      </c>
      <c r="I508" s="271">
        <f t="shared" si="77"/>
        <v>0</v>
      </c>
      <c r="J508" s="271">
        <f t="shared" ref="J508:J571" si="78">I508</f>
        <v>0</v>
      </c>
    </row>
    <row r="509" spans="3:10">
      <c r="C509" s="191" t="s">
        <v>8</v>
      </c>
      <c r="D509" s="191">
        <v>2010</v>
      </c>
      <c r="E509" s="191" t="s">
        <v>49</v>
      </c>
      <c r="F509" s="193" t="s">
        <v>419</v>
      </c>
      <c r="G509" s="193" t="s">
        <v>427</v>
      </c>
      <c r="H509" s="193" t="s">
        <v>285</v>
      </c>
      <c r="I509" s="271">
        <f t="shared" si="77"/>
        <v>-9.4641666666666673</v>
      </c>
      <c r="J509" s="271">
        <f t="shared" si="78"/>
        <v>-9.4641666666666673</v>
      </c>
    </row>
    <row r="510" spans="3:10">
      <c r="C510" s="191" t="s">
        <v>8</v>
      </c>
      <c r="D510" s="191">
        <v>2018</v>
      </c>
      <c r="E510" s="191" t="s">
        <v>49</v>
      </c>
      <c r="F510" s="193" t="s">
        <v>419</v>
      </c>
      <c r="G510" s="193" t="s">
        <v>427</v>
      </c>
      <c r="H510" s="193" t="s">
        <v>285</v>
      </c>
      <c r="I510" s="271">
        <f t="shared" si="77"/>
        <v>-9.4641666666666673</v>
      </c>
      <c r="J510" s="271">
        <f t="shared" si="78"/>
        <v>-9.4641666666666673</v>
      </c>
    </row>
    <row r="511" spans="3:10">
      <c r="C511" s="191" t="s">
        <v>8</v>
      </c>
      <c r="D511" s="191">
        <v>2019</v>
      </c>
      <c r="E511" s="191" t="s">
        <v>49</v>
      </c>
      <c r="F511" s="193" t="s">
        <v>419</v>
      </c>
      <c r="G511" s="193" t="s">
        <v>427</v>
      </c>
      <c r="H511" s="193" t="s">
        <v>285</v>
      </c>
      <c r="I511" s="271">
        <f t="shared" si="77"/>
        <v>0</v>
      </c>
      <c r="J511" s="271">
        <f t="shared" si="78"/>
        <v>0</v>
      </c>
    </row>
    <row r="512" spans="3:10">
      <c r="C512" s="191" t="s">
        <v>8</v>
      </c>
      <c r="D512" s="191">
        <v>2010</v>
      </c>
      <c r="E512" s="191" t="s">
        <v>49</v>
      </c>
      <c r="F512" s="193" t="s">
        <v>181</v>
      </c>
      <c r="G512" s="193" t="s">
        <v>427</v>
      </c>
      <c r="H512" s="193" t="s">
        <v>285</v>
      </c>
      <c r="I512" s="271">
        <f t="shared" si="77"/>
        <v>-9.6925000000000008</v>
      </c>
      <c r="J512" s="271">
        <f t="shared" si="78"/>
        <v>-9.6925000000000008</v>
      </c>
    </row>
    <row r="513" spans="3:10">
      <c r="C513" s="191" t="s">
        <v>8</v>
      </c>
      <c r="D513" s="191">
        <v>2018</v>
      </c>
      <c r="E513" s="191" t="s">
        <v>49</v>
      </c>
      <c r="F513" s="193" t="s">
        <v>181</v>
      </c>
      <c r="G513" s="193" t="s">
        <v>427</v>
      </c>
      <c r="H513" s="193" t="s">
        <v>285</v>
      </c>
      <c r="I513" s="271">
        <f t="shared" si="77"/>
        <v>-9.6925000000000008</v>
      </c>
      <c r="J513" s="271">
        <f t="shared" si="78"/>
        <v>-9.6925000000000008</v>
      </c>
    </row>
    <row r="514" spans="3:10">
      <c r="C514" s="191" t="s">
        <v>8</v>
      </c>
      <c r="D514" s="191">
        <v>2019</v>
      </c>
      <c r="E514" s="191" t="s">
        <v>49</v>
      </c>
      <c r="F514" s="193" t="s">
        <v>181</v>
      </c>
      <c r="G514" s="193" t="s">
        <v>427</v>
      </c>
      <c r="H514" s="193" t="s">
        <v>285</v>
      </c>
      <c r="I514" s="271">
        <f t="shared" si="77"/>
        <v>0</v>
      </c>
      <c r="J514" s="271">
        <f t="shared" si="78"/>
        <v>0</v>
      </c>
    </row>
    <row r="515" spans="3:10">
      <c r="C515" s="191" t="s">
        <v>8</v>
      </c>
      <c r="D515" s="191">
        <v>2010</v>
      </c>
      <c r="E515" s="191" t="s">
        <v>49</v>
      </c>
      <c r="F515" s="193" t="s">
        <v>169</v>
      </c>
      <c r="G515" s="193" t="s">
        <v>427</v>
      </c>
      <c r="H515" s="193" t="s">
        <v>285</v>
      </c>
      <c r="I515" s="271">
        <f t="shared" si="77"/>
        <v>-10.314583333333333</v>
      </c>
      <c r="J515" s="271">
        <f t="shared" si="78"/>
        <v>-10.314583333333333</v>
      </c>
    </row>
    <row r="516" spans="3:10">
      <c r="C516" s="191" t="s">
        <v>8</v>
      </c>
      <c r="D516" s="191">
        <v>2018</v>
      </c>
      <c r="E516" s="191" t="s">
        <v>49</v>
      </c>
      <c r="F516" s="193" t="s">
        <v>169</v>
      </c>
      <c r="G516" s="193" t="s">
        <v>427</v>
      </c>
      <c r="H516" s="193" t="s">
        <v>285</v>
      </c>
      <c r="I516" s="271">
        <f t="shared" si="77"/>
        <v>-10.314583333333333</v>
      </c>
      <c r="J516" s="271">
        <f t="shared" si="78"/>
        <v>-10.314583333333333</v>
      </c>
    </row>
    <row r="517" spans="3:10">
      <c r="C517" s="191" t="s">
        <v>8</v>
      </c>
      <c r="D517" s="191">
        <v>2019</v>
      </c>
      <c r="E517" s="191" t="s">
        <v>49</v>
      </c>
      <c r="F517" s="193" t="s">
        <v>169</v>
      </c>
      <c r="G517" s="193" t="s">
        <v>427</v>
      </c>
      <c r="H517" s="193" t="s">
        <v>285</v>
      </c>
      <c r="I517" s="271">
        <f t="shared" si="77"/>
        <v>0</v>
      </c>
      <c r="J517" s="271">
        <f t="shared" si="78"/>
        <v>0</v>
      </c>
    </row>
    <row r="518" spans="3:10">
      <c r="C518" s="191" t="s">
        <v>8</v>
      </c>
      <c r="D518" s="191">
        <v>2010</v>
      </c>
      <c r="E518" s="191" t="s">
        <v>49</v>
      </c>
      <c r="F518" s="193" t="s">
        <v>170</v>
      </c>
      <c r="G518" s="193" t="s">
        <v>427</v>
      </c>
      <c r="H518" s="193" t="s">
        <v>285</v>
      </c>
      <c r="I518" s="271">
        <f t="shared" si="77"/>
        <v>-10.314583333333333</v>
      </c>
      <c r="J518" s="271">
        <f t="shared" si="78"/>
        <v>-10.314583333333333</v>
      </c>
    </row>
    <row r="519" spans="3:10">
      <c r="C519" s="191" t="s">
        <v>8</v>
      </c>
      <c r="D519" s="191">
        <v>2018</v>
      </c>
      <c r="E519" s="191" t="s">
        <v>49</v>
      </c>
      <c r="F519" s="193" t="s">
        <v>170</v>
      </c>
      <c r="G519" s="193" t="s">
        <v>427</v>
      </c>
      <c r="H519" s="193" t="s">
        <v>285</v>
      </c>
      <c r="I519" s="271">
        <f t="shared" si="77"/>
        <v>-10.314583333333333</v>
      </c>
      <c r="J519" s="271">
        <f t="shared" si="78"/>
        <v>-10.314583333333333</v>
      </c>
    </row>
    <row r="520" spans="3:10">
      <c r="C520" s="191" t="s">
        <v>8</v>
      </c>
      <c r="D520" s="191">
        <v>2019</v>
      </c>
      <c r="E520" s="191" t="s">
        <v>49</v>
      </c>
      <c r="F520" s="193" t="s">
        <v>170</v>
      </c>
      <c r="G520" s="193" t="s">
        <v>427</v>
      </c>
      <c r="H520" s="193" t="s">
        <v>285</v>
      </c>
      <c r="I520" s="271">
        <f t="shared" si="77"/>
        <v>0</v>
      </c>
      <c r="J520" s="271">
        <f t="shared" si="78"/>
        <v>0</v>
      </c>
    </row>
    <row r="521" spans="3:10">
      <c r="C521" s="191" t="s">
        <v>8</v>
      </c>
      <c r="D521" s="191">
        <v>2010</v>
      </c>
      <c r="E521" s="191" t="s">
        <v>49</v>
      </c>
      <c r="F521" s="193" t="s">
        <v>413</v>
      </c>
      <c r="G521" s="193" t="s">
        <v>427</v>
      </c>
      <c r="H521" s="193" t="s">
        <v>285</v>
      </c>
      <c r="I521" s="271">
        <f t="shared" si="77"/>
        <v>-7.2195833333333335</v>
      </c>
      <c r="J521" s="271">
        <f t="shared" si="78"/>
        <v>-7.2195833333333335</v>
      </c>
    </row>
    <row r="522" spans="3:10">
      <c r="C522" s="191" t="s">
        <v>8</v>
      </c>
      <c r="D522" s="191">
        <v>2018</v>
      </c>
      <c r="E522" s="191" t="s">
        <v>49</v>
      </c>
      <c r="F522" s="193" t="s">
        <v>413</v>
      </c>
      <c r="G522" s="193" t="s">
        <v>427</v>
      </c>
      <c r="H522" s="193" t="s">
        <v>285</v>
      </c>
      <c r="I522" s="271">
        <f t="shared" si="77"/>
        <v>-7.2195833333333335</v>
      </c>
      <c r="J522" s="271">
        <f t="shared" si="78"/>
        <v>-7.2195833333333335</v>
      </c>
    </row>
    <row r="523" spans="3:10">
      <c r="C523" s="191" t="s">
        <v>8</v>
      </c>
      <c r="D523" s="191">
        <v>2019</v>
      </c>
      <c r="E523" s="191" t="s">
        <v>49</v>
      </c>
      <c r="F523" s="193" t="s">
        <v>413</v>
      </c>
      <c r="G523" s="193" t="s">
        <v>427</v>
      </c>
      <c r="H523" s="193" t="s">
        <v>285</v>
      </c>
      <c r="I523" s="271">
        <f t="shared" si="77"/>
        <v>0</v>
      </c>
      <c r="J523" s="271">
        <f t="shared" si="78"/>
        <v>0</v>
      </c>
    </row>
    <row r="524" spans="3:10">
      <c r="C524" s="191" t="s">
        <v>8</v>
      </c>
      <c r="D524" s="191">
        <v>2010</v>
      </c>
      <c r="E524" s="191" t="s">
        <v>49</v>
      </c>
      <c r="F524" s="193" t="s">
        <v>420</v>
      </c>
      <c r="G524" s="193" t="s">
        <v>427</v>
      </c>
      <c r="H524" s="193" t="s">
        <v>285</v>
      </c>
      <c r="I524" s="271">
        <f t="shared" si="77"/>
        <v>-8.9108333333333345</v>
      </c>
      <c r="J524" s="271">
        <f t="shared" si="78"/>
        <v>-8.9108333333333345</v>
      </c>
    </row>
    <row r="525" spans="3:10">
      <c r="C525" s="191" t="s">
        <v>8</v>
      </c>
      <c r="D525" s="191">
        <v>2018</v>
      </c>
      <c r="E525" s="191" t="s">
        <v>49</v>
      </c>
      <c r="F525" s="193" t="s">
        <v>420</v>
      </c>
      <c r="G525" s="193" t="s">
        <v>427</v>
      </c>
      <c r="H525" s="193" t="s">
        <v>285</v>
      </c>
      <c r="I525" s="271">
        <f t="shared" si="77"/>
        <v>-8.9108333333333345</v>
      </c>
      <c r="J525" s="271">
        <f t="shared" si="78"/>
        <v>-8.9108333333333345</v>
      </c>
    </row>
    <row r="526" spans="3:10">
      <c r="C526" s="191" t="s">
        <v>8</v>
      </c>
      <c r="D526" s="191">
        <v>2019</v>
      </c>
      <c r="E526" s="191" t="s">
        <v>49</v>
      </c>
      <c r="F526" s="193" t="s">
        <v>420</v>
      </c>
      <c r="G526" s="193" t="s">
        <v>427</v>
      </c>
      <c r="H526" s="193" t="s">
        <v>285</v>
      </c>
      <c r="I526" s="271">
        <f t="shared" si="77"/>
        <v>0</v>
      </c>
      <c r="J526" s="271">
        <f t="shared" si="78"/>
        <v>0</v>
      </c>
    </row>
    <row r="527" spans="3:10">
      <c r="C527" s="191" t="s">
        <v>8</v>
      </c>
      <c r="D527" s="191">
        <v>2010</v>
      </c>
      <c r="E527" s="191" t="s">
        <v>49</v>
      </c>
      <c r="F527" s="193" t="s">
        <v>171</v>
      </c>
      <c r="G527" s="193" t="s">
        <v>427</v>
      </c>
      <c r="H527" s="193" t="s">
        <v>285</v>
      </c>
      <c r="I527" s="271">
        <f t="shared" si="77"/>
        <v>-7.3033333333333337</v>
      </c>
      <c r="J527" s="271">
        <f t="shared" si="78"/>
        <v>-7.3033333333333337</v>
      </c>
    </row>
    <row r="528" spans="3:10">
      <c r="C528" s="191" t="s">
        <v>8</v>
      </c>
      <c r="D528" s="191">
        <v>2018</v>
      </c>
      <c r="E528" s="191" t="s">
        <v>49</v>
      </c>
      <c r="F528" s="193" t="s">
        <v>171</v>
      </c>
      <c r="G528" s="193" t="s">
        <v>427</v>
      </c>
      <c r="H528" s="193" t="s">
        <v>285</v>
      </c>
      <c r="I528" s="271">
        <f t="shared" si="77"/>
        <v>-7.3033333333333337</v>
      </c>
      <c r="J528" s="271">
        <f t="shared" si="78"/>
        <v>-7.3033333333333337</v>
      </c>
    </row>
    <row r="529" spans="3:10">
      <c r="C529" s="191" t="s">
        <v>8</v>
      </c>
      <c r="D529" s="191">
        <v>2019</v>
      </c>
      <c r="E529" s="191" t="s">
        <v>49</v>
      </c>
      <c r="F529" s="193" t="s">
        <v>171</v>
      </c>
      <c r="G529" s="193" t="s">
        <v>427</v>
      </c>
      <c r="H529" s="193" t="s">
        <v>285</v>
      </c>
      <c r="I529" s="271">
        <f t="shared" si="77"/>
        <v>0</v>
      </c>
      <c r="J529" s="271">
        <f t="shared" si="78"/>
        <v>0</v>
      </c>
    </row>
    <row r="530" spans="3:10">
      <c r="C530" s="191" t="s">
        <v>8</v>
      </c>
      <c r="D530" s="191">
        <v>2010</v>
      </c>
      <c r="E530" s="191" t="s">
        <v>49</v>
      </c>
      <c r="F530" s="193" t="s">
        <v>421</v>
      </c>
      <c r="G530" s="193" t="s">
        <v>427</v>
      </c>
      <c r="H530" s="193" t="s">
        <v>285</v>
      </c>
      <c r="I530" s="271">
        <f t="shared" si="77"/>
        <v>-9.2550000000000008</v>
      </c>
      <c r="J530" s="271">
        <f t="shared" si="78"/>
        <v>-9.2550000000000008</v>
      </c>
    </row>
    <row r="531" spans="3:10">
      <c r="C531" s="191" t="s">
        <v>8</v>
      </c>
      <c r="D531" s="191">
        <v>2018</v>
      </c>
      <c r="E531" s="191" t="s">
        <v>49</v>
      </c>
      <c r="F531" s="193" t="s">
        <v>421</v>
      </c>
      <c r="G531" s="193" t="s">
        <v>427</v>
      </c>
      <c r="H531" s="193" t="s">
        <v>285</v>
      </c>
      <c r="I531" s="271">
        <f t="shared" si="77"/>
        <v>-9.2550000000000008</v>
      </c>
      <c r="J531" s="271">
        <f t="shared" si="78"/>
        <v>-9.2550000000000008</v>
      </c>
    </row>
    <row r="532" spans="3:10">
      <c r="C532" s="191" t="s">
        <v>8</v>
      </c>
      <c r="D532" s="191">
        <v>2019</v>
      </c>
      <c r="E532" s="191" t="s">
        <v>49</v>
      </c>
      <c r="F532" s="193" t="s">
        <v>421</v>
      </c>
      <c r="G532" s="193" t="s">
        <v>427</v>
      </c>
      <c r="H532" s="193" t="s">
        <v>285</v>
      </c>
      <c r="I532" s="271">
        <f t="shared" si="77"/>
        <v>0</v>
      </c>
      <c r="J532" s="271">
        <f t="shared" si="78"/>
        <v>0</v>
      </c>
    </row>
    <row r="533" spans="3:10">
      <c r="C533" s="191" t="s">
        <v>8</v>
      </c>
      <c r="D533" s="191">
        <v>2010</v>
      </c>
      <c r="E533" s="191" t="s">
        <v>49</v>
      </c>
      <c r="F533" s="193" t="s">
        <v>100</v>
      </c>
      <c r="G533" s="193" t="s">
        <v>427</v>
      </c>
      <c r="H533" s="193" t="s">
        <v>285</v>
      </c>
      <c r="I533" s="271">
        <f t="shared" si="77"/>
        <v>-6.2787499999999996</v>
      </c>
      <c r="J533" s="271">
        <f t="shared" si="78"/>
        <v>-6.2787499999999996</v>
      </c>
    </row>
    <row r="534" spans="3:10">
      <c r="C534" s="191" t="s">
        <v>8</v>
      </c>
      <c r="D534" s="191">
        <v>2018</v>
      </c>
      <c r="E534" s="191" t="s">
        <v>49</v>
      </c>
      <c r="F534" s="193" t="s">
        <v>100</v>
      </c>
      <c r="G534" s="193" t="s">
        <v>427</v>
      </c>
      <c r="H534" s="193" t="s">
        <v>285</v>
      </c>
      <c r="I534" s="271">
        <f t="shared" si="77"/>
        <v>-6.2787499999999996</v>
      </c>
      <c r="J534" s="271">
        <f t="shared" si="78"/>
        <v>-6.2787499999999996</v>
      </c>
    </row>
    <row r="535" spans="3:10">
      <c r="C535" s="191" t="s">
        <v>8</v>
      </c>
      <c r="D535" s="191">
        <v>2019</v>
      </c>
      <c r="E535" s="191" t="s">
        <v>49</v>
      </c>
      <c r="F535" s="193" t="s">
        <v>100</v>
      </c>
      <c r="G535" s="193" t="s">
        <v>427</v>
      </c>
      <c r="H535" s="193" t="s">
        <v>285</v>
      </c>
      <c r="I535" s="271">
        <f t="shared" si="77"/>
        <v>0</v>
      </c>
      <c r="J535" s="271">
        <f t="shared" si="78"/>
        <v>0</v>
      </c>
    </row>
    <row r="536" spans="3:10">
      <c r="C536" s="191" t="s">
        <v>8</v>
      </c>
      <c r="D536" s="191">
        <v>2010</v>
      </c>
      <c r="E536" s="191" t="s">
        <v>49</v>
      </c>
      <c r="F536" s="193" t="s">
        <v>172</v>
      </c>
      <c r="G536" s="193" t="s">
        <v>427</v>
      </c>
      <c r="H536" s="193" t="s">
        <v>285</v>
      </c>
      <c r="I536" s="271">
        <f t="shared" si="77"/>
        <v>-10.2125</v>
      </c>
      <c r="J536" s="271">
        <f t="shared" si="78"/>
        <v>-10.2125</v>
      </c>
    </row>
    <row r="537" spans="3:10">
      <c r="C537" s="191" t="s">
        <v>8</v>
      </c>
      <c r="D537" s="191">
        <v>2018</v>
      </c>
      <c r="E537" s="191" t="s">
        <v>49</v>
      </c>
      <c r="F537" s="193" t="s">
        <v>172</v>
      </c>
      <c r="G537" s="193" t="s">
        <v>427</v>
      </c>
      <c r="H537" s="193" t="s">
        <v>285</v>
      </c>
      <c r="I537" s="271">
        <f t="shared" si="77"/>
        <v>-10.2125</v>
      </c>
      <c r="J537" s="271">
        <f t="shared" si="78"/>
        <v>-10.2125</v>
      </c>
    </row>
    <row r="538" spans="3:10">
      <c r="C538" s="191" t="s">
        <v>8</v>
      </c>
      <c r="D538" s="191">
        <v>2019</v>
      </c>
      <c r="E538" s="191" t="s">
        <v>49</v>
      </c>
      <c r="F538" s="193" t="s">
        <v>172</v>
      </c>
      <c r="G538" s="193" t="s">
        <v>427</v>
      </c>
      <c r="H538" s="193" t="s">
        <v>285</v>
      </c>
      <c r="I538" s="271">
        <f t="shared" si="77"/>
        <v>0</v>
      </c>
      <c r="J538" s="271">
        <f t="shared" si="78"/>
        <v>0</v>
      </c>
    </row>
    <row r="539" spans="3:10">
      <c r="C539" s="191" t="s">
        <v>8</v>
      </c>
      <c r="D539" s="191">
        <v>2010</v>
      </c>
      <c r="E539" s="191" t="s">
        <v>49</v>
      </c>
      <c r="F539" s="193" t="s">
        <v>173</v>
      </c>
      <c r="G539" s="193" t="s">
        <v>427</v>
      </c>
      <c r="H539" s="193" t="s">
        <v>285</v>
      </c>
      <c r="I539" s="271">
        <f t="shared" si="77"/>
        <v>-5.375</v>
      </c>
      <c r="J539" s="271">
        <f t="shared" si="78"/>
        <v>-5.375</v>
      </c>
    </row>
    <row r="540" spans="3:10">
      <c r="C540" s="191" t="s">
        <v>8</v>
      </c>
      <c r="D540" s="191">
        <v>2018</v>
      </c>
      <c r="E540" s="191" t="s">
        <v>49</v>
      </c>
      <c r="F540" s="193" t="s">
        <v>173</v>
      </c>
      <c r="G540" s="193" t="s">
        <v>427</v>
      </c>
      <c r="H540" s="193" t="s">
        <v>285</v>
      </c>
      <c r="I540" s="271">
        <f t="shared" si="77"/>
        <v>-5.375</v>
      </c>
      <c r="J540" s="271">
        <f t="shared" si="78"/>
        <v>-5.375</v>
      </c>
    </row>
    <row r="541" spans="3:10">
      <c r="C541" s="191" t="s">
        <v>8</v>
      </c>
      <c r="D541" s="191">
        <v>2019</v>
      </c>
      <c r="E541" s="191" t="s">
        <v>49</v>
      </c>
      <c r="F541" s="193" t="s">
        <v>173</v>
      </c>
      <c r="G541" s="193" t="s">
        <v>427</v>
      </c>
      <c r="H541" s="193" t="s">
        <v>285</v>
      </c>
      <c r="I541" s="271">
        <f t="shared" si="77"/>
        <v>0</v>
      </c>
      <c r="J541" s="271">
        <f t="shared" si="78"/>
        <v>0</v>
      </c>
    </row>
    <row r="542" spans="3:10">
      <c r="C542" s="191" t="s">
        <v>8</v>
      </c>
      <c r="D542" s="191">
        <v>2010</v>
      </c>
      <c r="E542" s="191" t="s">
        <v>49</v>
      </c>
      <c r="F542" s="193" t="s">
        <v>167</v>
      </c>
      <c r="G542" s="193" t="s">
        <v>427</v>
      </c>
      <c r="H542" s="193" t="s">
        <v>285</v>
      </c>
      <c r="I542" s="271">
        <f t="shared" si="77"/>
        <v>-9.6925000000000008</v>
      </c>
      <c r="J542" s="271">
        <f t="shared" si="78"/>
        <v>-9.6925000000000008</v>
      </c>
    </row>
    <row r="543" spans="3:10">
      <c r="C543" s="191" t="s">
        <v>8</v>
      </c>
      <c r="D543" s="191">
        <v>2018</v>
      </c>
      <c r="E543" s="191" t="s">
        <v>49</v>
      </c>
      <c r="F543" s="193" t="s">
        <v>167</v>
      </c>
      <c r="G543" s="193" t="s">
        <v>427</v>
      </c>
      <c r="H543" s="193" t="s">
        <v>285</v>
      </c>
      <c r="I543" s="271">
        <f t="shared" si="77"/>
        <v>-9.6925000000000008</v>
      </c>
      <c r="J543" s="271">
        <f t="shared" si="78"/>
        <v>-9.6925000000000008</v>
      </c>
    </row>
    <row r="544" spans="3:10">
      <c r="C544" s="191" t="s">
        <v>8</v>
      </c>
      <c r="D544" s="191">
        <v>2019</v>
      </c>
      <c r="E544" s="191" t="s">
        <v>49</v>
      </c>
      <c r="F544" s="193" t="s">
        <v>167</v>
      </c>
      <c r="G544" s="193" t="s">
        <v>427</v>
      </c>
      <c r="H544" s="193" t="s">
        <v>285</v>
      </c>
      <c r="I544" s="271">
        <f t="shared" si="77"/>
        <v>0</v>
      </c>
      <c r="J544" s="271">
        <f t="shared" si="78"/>
        <v>0</v>
      </c>
    </row>
    <row r="545" spans="3:10">
      <c r="C545" s="191" t="s">
        <v>8</v>
      </c>
      <c r="D545" s="191">
        <v>2010</v>
      </c>
      <c r="E545" s="191" t="s">
        <v>49</v>
      </c>
      <c r="F545" s="193" t="s">
        <v>174</v>
      </c>
      <c r="G545" s="193" t="s">
        <v>427</v>
      </c>
      <c r="H545" s="193" t="s">
        <v>285</v>
      </c>
      <c r="I545" s="271">
        <f t="shared" si="77"/>
        <v>-7.2312500000000002</v>
      </c>
      <c r="J545" s="271">
        <f t="shared" si="78"/>
        <v>-7.2312500000000002</v>
      </c>
    </row>
    <row r="546" spans="3:10">
      <c r="C546" s="191" t="s">
        <v>8</v>
      </c>
      <c r="D546" s="191">
        <v>2018</v>
      </c>
      <c r="E546" s="191" t="s">
        <v>49</v>
      </c>
      <c r="F546" s="193" t="s">
        <v>174</v>
      </c>
      <c r="G546" s="193" t="s">
        <v>427</v>
      </c>
      <c r="H546" s="193" t="s">
        <v>285</v>
      </c>
      <c r="I546" s="271">
        <f t="shared" si="77"/>
        <v>-7.2312500000000002</v>
      </c>
      <c r="J546" s="271">
        <f t="shared" si="78"/>
        <v>-7.2312500000000002</v>
      </c>
    </row>
    <row r="547" spans="3:10">
      <c r="C547" s="191" t="s">
        <v>8</v>
      </c>
      <c r="D547" s="191">
        <v>2019</v>
      </c>
      <c r="E547" s="191" t="s">
        <v>49</v>
      </c>
      <c r="F547" s="193" t="s">
        <v>174</v>
      </c>
      <c r="G547" s="193" t="s">
        <v>427</v>
      </c>
      <c r="H547" s="193" t="s">
        <v>285</v>
      </c>
      <c r="I547" s="271">
        <f t="shared" si="77"/>
        <v>0</v>
      </c>
      <c r="J547" s="271">
        <f t="shared" si="78"/>
        <v>0</v>
      </c>
    </row>
    <row r="548" spans="3:10">
      <c r="C548" s="191" t="s">
        <v>8</v>
      </c>
      <c r="D548" s="191">
        <v>2010</v>
      </c>
      <c r="E548" s="191" t="s">
        <v>49</v>
      </c>
      <c r="F548" s="193" t="s">
        <v>422</v>
      </c>
      <c r="G548" s="193" t="s">
        <v>427</v>
      </c>
      <c r="H548" s="193" t="s">
        <v>285</v>
      </c>
      <c r="I548" s="271">
        <f t="shared" si="77"/>
        <v>-11.411250000000003</v>
      </c>
      <c r="J548" s="271">
        <f t="shared" si="78"/>
        <v>-11.411250000000003</v>
      </c>
    </row>
    <row r="549" spans="3:10">
      <c r="C549" s="191" t="s">
        <v>8</v>
      </c>
      <c r="D549" s="191">
        <v>2018</v>
      </c>
      <c r="E549" s="191" t="s">
        <v>49</v>
      </c>
      <c r="F549" s="193" t="s">
        <v>422</v>
      </c>
      <c r="G549" s="193" t="s">
        <v>427</v>
      </c>
      <c r="H549" s="193" t="s">
        <v>285</v>
      </c>
      <c r="I549" s="271">
        <f t="shared" si="77"/>
        <v>-11.411250000000003</v>
      </c>
      <c r="J549" s="271">
        <f t="shared" si="78"/>
        <v>-11.411250000000003</v>
      </c>
    </row>
    <row r="550" spans="3:10">
      <c r="C550" s="191" t="s">
        <v>8</v>
      </c>
      <c r="D550" s="191">
        <v>2019</v>
      </c>
      <c r="E550" s="191" t="s">
        <v>49</v>
      </c>
      <c r="F550" s="193" t="s">
        <v>422</v>
      </c>
      <c r="G550" s="193" t="s">
        <v>427</v>
      </c>
      <c r="H550" s="193" t="s">
        <v>285</v>
      </c>
      <c r="I550" s="271">
        <f t="shared" si="77"/>
        <v>0</v>
      </c>
      <c r="J550" s="271">
        <f t="shared" si="78"/>
        <v>0</v>
      </c>
    </row>
    <row r="551" spans="3:10">
      <c r="C551" s="191" t="s">
        <v>8</v>
      </c>
      <c r="D551" s="191">
        <v>2010</v>
      </c>
      <c r="E551" s="191" t="s">
        <v>49</v>
      </c>
      <c r="F551" s="193" t="s">
        <v>415</v>
      </c>
      <c r="G551" s="193" t="s">
        <v>427</v>
      </c>
      <c r="H551" s="193" t="s">
        <v>285</v>
      </c>
      <c r="I551" s="271">
        <f t="shared" si="77"/>
        <v>-3.9658333333333333</v>
      </c>
      <c r="J551" s="271">
        <f t="shared" si="78"/>
        <v>-3.9658333333333333</v>
      </c>
    </row>
    <row r="552" spans="3:10">
      <c r="C552" s="191" t="s">
        <v>8</v>
      </c>
      <c r="D552" s="191">
        <v>2018</v>
      </c>
      <c r="E552" s="191" t="s">
        <v>49</v>
      </c>
      <c r="F552" s="193" t="s">
        <v>415</v>
      </c>
      <c r="G552" s="193" t="s">
        <v>427</v>
      </c>
      <c r="H552" s="193" t="s">
        <v>285</v>
      </c>
      <c r="I552" s="271">
        <f t="shared" si="77"/>
        <v>-3.9658333333333333</v>
      </c>
      <c r="J552" s="271">
        <f t="shared" si="78"/>
        <v>-3.9658333333333333</v>
      </c>
    </row>
    <row r="553" spans="3:10">
      <c r="C553" s="191" t="s">
        <v>8</v>
      </c>
      <c r="D553" s="191">
        <v>2019</v>
      </c>
      <c r="E553" s="191" t="s">
        <v>49</v>
      </c>
      <c r="F553" s="193" t="s">
        <v>415</v>
      </c>
      <c r="G553" s="193" t="s">
        <v>427</v>
      </c>
      <c r="H553" s="193" t="s">
        <v>285</v>
      </c>
      <c r="I553" s="271">
        <f t="shared" si="77"/>
        <v>0</v>
      </c>
      <c r="J553" s="271">
        <f t="shared" si="78"/>
        <v>0</v>
      </c>
    </row>
    <row r="554" spans="3:10">
      <c r="C554" s="191" t="s">
        <v>8</v>
      </c>
      <c r="D554" s="191">
        <v>2010</v>
      </c>
      <c r="E554" s="191" t="s">
        <v>49</v>
      </c>
      <c r="F554" s="193" t="s">
        <v>423</v>
      </c>
      <c r="G554" s="193" t="s">
        <v>427</v>
      </c>
      <c r="H554" s="193" t="s">
        <v>285</v>
      </c>
      <c r="I554" s="271">
        <f t="shared" si="77"/>
        <v>-8.3333333333333339</v>
      </c>
      <c r="J554" s="271">
        <f t="shared" si="78"/>
        <v>-8.3333333333333339</v>
      </c>
    </row>
    <row r="555" spans="3:10">
      <c r="C555" s="191" t="s">
        <v>8</v>
      </c>
      <c r="D555" s="191">
        <v>2018</v>
      </c>
      <c r="E555" s="191" t="s">
        <v>49</v>
      </c>
      <c r="F555" s="193" t="s">
        <v>423</v>
      </c>
      <c r="G555" s="193" t="s">
        <v>427</v>
      </c>
      <c r="H555" s="193" t="s">
        <v>285</v>
      </c>
      <c r="I555" s="271">
        <f t="shared" si="77"/>
        <v>-8.3333333333333339</v>
      </c>
      <c r="J555" s="271">
        <f t="shared" si="78"/>
        <v>-8.3333333333333339</v>
      </c>
    </row>
    <row r="556" spans="3:10">
      <c r="C556" s="191" t="s">
        <v>8</v>
      </c>
      <c r="D556" s="191">
        <v>2019</v>
      </c>
      <c r="E556" s="191" t="s">
        <v>49</v>
      </c>
      <c r="F556" s="193" t="s">
        <v>423</v>
      </c>
      <c r="G556" s="193" t="s">
        <v>427</v>
      </c>
      <c r="H556" s="193" t="s">
        <v>285</v>
      </c>
      <c r="I556" s="271">
        <f t="shared" si="77"/>
        <v>0</v>
      </c>
      <c r="J556" s="271">
        <f t="shared" si="78"/>
        <v>0</v>
      </c>
    </row>
    <row r="557" spans="3:10">
      <c r="C557" s="191" t="s">
        <v>8</v>
      </c>
      <c r="D557" s="191">
        <v>2010</v>
      </c>
      <c r="E557" s="191" t="s">
        <v>49</v>
      </c>
      <c r="F557" s="273" t="s">
        <v>175</v>
      </c>
      <c r="G557" s="193" t="s">
        <v>427</v>
      </c>
      <c r="H557" s="193" t="s">
        <v>285</v>
      </c>
      <c r="I557" s="271">
        <f t="shared" si="77"/>
        <v>-10.583333333333336</v>
      </c>
      <c r="J557" s="271">
        <f t="shared" si="78"/>
        <v>-10.583333333333336</v>
      </c>
    </row>
    <row r="558" spans="3:10">
      <c r="C558" s="191" t="s">
        <v>8</v>
      </c>
      <c r="D558" s="191">
        <v>2018</v>
      </c>
      <c r="E558" s="191" t="s">
        <v>49</v>
      </c>
      <c r="F558" s="273" t="s">
        <v>175</v>
      </c>
      <c r="G558" s="193" t="s">
        <v>427</v>
      </c>
      <c r="H558" s="193" t="s">
        <v>285</v>
      </c>
      <c r="I558" s="271">
        <f t="shared" si="77"/>
        <v>-10.583333333333336</v>
      </c>
      <c r="J558" s="271">
        <f t="shared" si="78"/>
        <v>-10.583333333333336</v>
      </c>
    </row>
    <row r="559" spans="3:10">
      <c r="C559" s="191" t="s">
        <v>8</v>
      </c>
      <c r="D559" s="191">
        <v>2019</v>
      </c>
      <c r="E559" s="191" t="s">
        <v>49</v>
      </c>
      <c r="F559" s="273" t="s">
        <v>175</v>
      </c>
      <c r="G559" s="193" t="s">
        <v>427</v>
      </c>
      <c r="H559" s="193" t="s">
        <v>285</v>
      </c>
      <c r="I559" s="271">
        <f t="shared" si="77"/>
        <v>0</v>
      </c>
      <c r="J559" s="271">
        <f t="shared" si="78"/>
        <v>0</v>
      </c>
    </row>
    <row r="560" spans="3:10">
      <c r="C560" s="191" t="s">
        <v>8</v>
      </c>
      <c r="D560" s="191">
        <v>2010</v>
      </c>
      <c r="E560" s="191" t="s">
        <v>49</v>
      </c>
      <c r="F560" s="193" t="s">
        <v>177</v>
      </c>
      <c r="G560" s="193" t="s">
        <v>427</v>
      </c>
      <c r="H560" s="193" t="s">
        <v>285</v>
      </c>
      <c r="I560" s="271">
        <f t="shared" si="77"/>
        <v>-13.143750000000001</v>
      </c>
      <c r="J560" s="271">
        <f t="shared" si="78"/>
        <v>-13.143750000000001</v>
      </c>
    </row>
    <row r="561" spans="3:10">
      <c r="C561" s="191" t="s">
        <v>8</v>
      </c>
      <c r="D561" s="191">
        <v>2018</v>
      </c>
      <c r="E561" s="191" t="s">
        <v>49</v>
      </c>
      <c r="F561" s="193" t="s">
        <v>177</v>
      </c>
      <c r="G561" s="193" t="s">
        <v>427</v>
      </c>
      <c r="H561" s="193" t="s">
        <v>285</v>
      </c>
      <c r="I561" s="271">
        <f t="shared" si="77"/>
        <v>-13.143750000000001</v>
      </c>
      <c r="J561" s="271">
        <f t="shared" si="78"/>
        <v>-13.143750000000001</v>
      </c>
    </row>
    <row r="562" spans="3:10">
      <c r="C562" s="191" t="s">
        <v>8</v>
      </c>
      <c r="D562" s="191">
        <v>2019</v>
      </c>
      <c r="E562" s="191" t="s">
        <v>49</v>
      </c>
      <c r="F562" s="193" t="s">
        <v>177</v>
      </c>
      <c r="G562" s="193" t="s">
        <v>427</v>
      </c>
      <c r="H562" s="193" t="s">
        <v>285</v>
      </c>
      <c r="I562" s="271">
        <f t="shared" si="77"/>
        <v>0</v>
      </c>
      <c r="J562" s="271">
        <f t="shared" si="78"/>
        <v>0</v>
      </c>
    </row>
    <row r="563" spans="3:10">
      <c r="C563" s="191" t="s">
        <v>8</v>
      </c>
      <c r="D563" s="191">
        <v>2010</v>
      </c>
      <c r="E563" s="191" t="s">
        <v>49</v>
      </c>
      <c r="F563" s="193" t="s">
        <v>179</v>
      </c>
      <c r="G563" s="193" t="s">
        <v>427</v>
      </c>
      <c r="H563" s="193" t="s">
        <v>285</v>
      </c>
      <c r="I563" s="271">
        <f t="shared" si="77"/>
        <v>-6.2787499999999996</v>
      </c>
      <c r="J563" s="271">
        <f t="shared" si="78"/>
        <v>-6.2787499999999996</v>
      </c>
    </row>
    <row r="564" spans="3:10">
      <c r="C564" s="191" t="s">
        <v>8</v>
      </c>
      <c r="D564" s="191">
        <v>2018</v>
      </c>
      <c r="E564" s="191" t="s">
        <v>49</v>
      </c>
      <c r="F564" s="193" t="s">
        <v>179</v>
      </c>
      <c r="G564" s="193" t="s">
        <v>427</v>
      </c>
      <c r="H564" s="193" t="s">
        <v>285</v>
      </c>
      <c r="I564" s="271">
        <f t="shared" si="77"/>
        <v>-6.2787499999999996</v>
      </c>
      <c r="J564" s="271">
        <f t="shared" si="78"/>
        <v>-6.2787499999999996</v>
      </c>
    </row>
    <row r="565" spans="3:10">
      <c r="C565" s="191" t="s">
        <v>8</v>
      </c>
      <c r="D565" s="191">
        <v>2019</v>
      </c>
      <c r="E565" s="191" t="s">
        <v>49</v>
      </c>
      <c r="F565" s="193" t="s">
        <v>179</v>
      </c>
      <c r="G565" s="193" t="s">
        <v>427</v>
      </c>
      <c r="H565" s="193" t="s">
        <v>285</v>
      </c>
      <c r="I565" s="271">
        <f t="shared" si="77"/>
        <v>0</v>
      </c>
      <c r="J565" s="271">
        <f t="shared" si="78"/>
        <v>0</v>
      </c>
    </row>
    <row r="566" spans="3:10">
      <c r="C566" s="191" t="s">
        <v>8</v>
      </c>
      <c r="D566" s="191">
        <v>2010</v>
      </c>
      <c r="E566" s="191" t="s">
        <v>49</v>
      </c>
      <c r="F566" s="193" t="s">
        <v>180</v>
      </c>
      <c r="G566" s="193" t="s">
        <v>427</v>
      </c>
      <c r="H566" s="193" t="s">
        <v>285</v>
      </c>
      <c r="I566" s="271">
        <f t="shared" si="77"/>
        <v>-6.3520833333333337</v>
      </c>
      <c r="J566" s="271">
        <f t="shared" si="78"/>
        <v>-6.3520833333333337</v>
      </c>
    </row>
    <row r="567" spans="3:10">
      <c r="C567" s="191" t="s">
        <v>8</v>
      </c>
      <c r="D567" s="191">
        <v>2018</v>
      </c>
      <c r="E567" s="191" t="s">
        <v>49</v>
      </c>
      <c r="F567" s="193" t="s">
        <v>180</v>
      </c>
      <c r="G567" s="193" t="s">
        <v>427</v>
      </c>
      <c r="H567" s="193" t="s">
        <v>285</v>
      </c>
      <c r="I567" s="271">
        <f t="shared" si="77"/>
        <v>-6.3520833333333337</v>
      </c>
      <c r="J567" s="271">
        <f t="shared" si="78"/>
        <v>-6.3520833333333337</v>
      </c>
    </row>
    <row r="568" spans="3:10">
      <c r="C568" s="191" t="s">
        <v>8</v>
      </c>
      <c r="D568" s="191">
        <v>2019</v>
      </c>
      <c r="E568" s="191" t="s">
        <v>49</v>
      </c>
      <c r="F568" s="193" t="s">
        <v>180</v>
      </c>
      <c r="G568" s="193" t="s">
        <v>427</v>
      </c>
      <c r="H568" s="193" t="s">
        <v>285</v>
      </c>
      <c r="I568" s="271">
        <f t="shared" si="77"/>
        <v>0</v>
      </c>
      <c r="J568" s="271">
        <f t="shared" si="78"/>
        <v>0</v>
      </c>
    </row>
    <row r="569" spans="3:10">
      <c r="C569" s="191" t="s">
        <v>8</v>
      </c>
      <c r="D569" s="191">
        <v>2010</v>
      </c>
      <c r="E569" s="191" t="s">
        <v>49</v>
      </c>
      <c r="F569" s="193" t="s">
        <v>424</v>
      </c>
      <c r="G569" s="193" t="s">
        <v>427</v>
      </c>
      <c r="H569" s="193" t="s">
        <v>285</v>
      </c>
      <c r="I569" s="271" t="e">
        <f t="shared" si="77"/>
        <v>#REF!</v>
      </c>
      <c r="J569" s="271" t="e">
        <f t="shared" si="78"/>
        <v>#REF!</v>
      </c>
    </row>
    <row r="570" spans="3:10">
      <c r="C570" s="191" t="s">
        <v>8</v>
      </c>
      <c r="D570" s="191">
        <v>2018</v>
      </c>
      <c r="E570" s="191" t="s">
        <v>49</v>
      </c>
      <c r="F570" s="193" t="s">
        <v>424</v>
      </c>
      <c r="G570" s="193" t="s">
        <v>427</v>
      </c>
      <c r="H570" s="193" t="s">
        <v>285</v>
      </c>
      <c r="I570" s="271" t="e">
        <f t="shared" si="77"/>
        <v>#REF!</v>
      </c>
      <c r="J570" s="271" t="e">
        <f t="shared" si="78"/>
        <v>#REF!</v>
      </c>
    </row>
    <row r="571" spans="3:10">
      <c r="C571" s="191" t="s">
        <v>8</v>
      </c>
      <c r="D571" s="191">
        <v>2019</v>
      </c>
      <c r="E571" s="191" t="s">
        <v>49</v>
      </c>
      <c r="F571" s="193" t="s">
        <v>424</v>
      </c>
      <c r="G571" s="193" t="s">
        <v>427</v>
      </c>
      <c r="H571" s="193" t="s">
        <v>285</v>
      </c>
      <c r="I571" s="271" t="e">
        <f t="shared" ref="I571:I580" si="79">L433*-1</f>
        <v>#REF!</v>
      </c>
      <c r="J571" s="271" t="e">
        <f t="shared" si="78"/>
        <v>#REF!</v>
      </c>
    </row>
    <row r="572" spans="3:10">
      <c r="C572" s="191" t="s">
        <v>8</v>
      </c>
      <c r="D572" s="191">
        <v>2010</v>
      </c>
      <c r="E572" s="191" t="s">
        <v>49</v>
      </c>
      <c r="F572" s="193" t="s">
        <v>425</v>
      </c>
      <c r="G572" s="193" t="s">
        <v>427</v>
      </c>
      <c r="H572" s="193" t="s">
        <v>285</v>
      </c>
      <c r="I572" s="271">
        <f t="shared" si="79"/>
        <v>-4.4133333333333331</v>
      </c>
      <c r="J572" s="271">
        <f t="shared" ref="J572:J580" si="80">I572</f>
        <v>-4.4133333333333331</v>
      </c>
    </row>
    <row r="573" spans="3:10">
      <c r="C573" s="191" t="s">
        <v>8</v>
      </c>
      <c r="D573" s="191">
        <v>2018</v>
      </c>
      <c r="E573" s="191" t="s">
        <v>49</v>
      </c>
      <c r="F573" s="193" t="s">
        <v>425</v>
      </c>
      <c r="G573" s="193" t="s">
        <v>427</v>
      </c>
      <c r="H573" s="193" t="s">
        <v>285</v>
      </c>
      <c r="I573" s="271">
        <f t="shared" si="79"/>
        <v>-4.4133333333333331</v>
      </c>
      <c r="J573" s="271">
        <f t="shared" si="80"/>
        <v>-4.4133333333333331</v>
      </c>
    </row>
    <row r="574" spans="3:10">
      <c r="C574" s="191" t="s">
        <v>8</v>
      </c>
      <c r="D574" s="191">
        <v>2019</v>
      </c>
      <c r="E574" s="191" t="s">
        <v>49</v>
      </c>
      <c r="F574" s="193" t="s">
        <v>425</v>
      </c>
      <c r="G574" s="193" t="s">
        <v>427</v>
      </c>
      <c r="H574" s="193" t="s">
        <v>285</v>
      </c>
      <c r="I574" s="271">
        <f t="shared" si="79"/>
        <v>0</v>
      </c>
      <c r="J574" s="271">
        <f t="shared" si="80"/>
        <v>0</v>
      </c>
    </row>
    <row r="575" spans="3:10">
      <c r="C575" s="191" t="s">
        <v>8</v>
      </c>
      <c r="D575" s="191">
        <v>2010</v>
      </c>
      <c r="E575" s="191" t="s">
        <v>49</v>
      </c>
      <c r="F575" s="193" t="s">
        <v>182</v>
      </c>
      <c r="G575" s="193" t="s">
        <v>427</v>
      </c>
      <c r="H575" s="193" t="s">
        <v>285</v>
      </c>
      <c r="I575" s="271">
        <f t="shared" si="79"/>
        <v>-7.3033333333333337</v>
      </c>
      <c r="J575" s="271">
        <f t="shared" si="80"/>
        <v>-7.3033333333333337</v>
      </c>
    </row>
    <row r="576" spans="3:10">
      <c r="C576" s="191" t="s">
        <v>8</v>
      </c>
      <c r="D576" s="191">
        <v>2018</v>
      </c>
      <c r="E576" s="191" t="s">
        <v>49</v>
      </c>
      <c r="F576" s="193" t="s">
        <v>182</v>
      </c>
      <c r="G576" s="193" t="s">
        <v>427</v>
      </c>
      <c r="H576" s="193" t="s">
        <v>285</v>
      </c>
      <c r="I576" s="271">
        <f t="shared" si="79"/>
        <v>-7.3033333333333337</v>
      </c>
      <c r="J576" s="271">
        <f t="shared" si="80"/>
        <v>-7.3033333333333337</v>
      </c>
    </row>
    <row r="577" spans="3:10">
      <c r="C577" s="191" t="s">
        <v>8</v>
      </c>
      <c r="D577" s="191">
        <v>2019</v>
      </c>
      <c r="E577" s="191" t="s">
        <v>49</v>
      </c>
      <c r="F577" s="193" t="s">
        <v>182</v>
      </c>
      <c r="G577" s="193" t="s">
        <v>427</v>
      </c>
      <c r="H577" s="193" t="s">
        <v>285</v>
      </c>
      <c r="I577" s="271">
        <f t="shared" si="79"/>
        <v>0</v>
      </c>
      <c r="J577" s="271">
        <f t="shared" si="80"/>
        <v>0</v>
      </c>
    </row>
    <row r="578" spans="3:10">
      <c r="C578" s="191" t="s">
        <v>8</v>
      </c>
      <c r="D578" s="191">
        <v>2010</v>
      </c>
      <c r="E578" s="191" t="s">
        <v>49</v>
      </c>
      <c r="F578" s="193" t="s">
        <v>183</v>
      </c>
      <c r="G578" s="193" t="s">
        <v>427</v>
      </c>
      <c r="H578" s="193" t="s">
        <v>285</v>
      </c>
      <c r="I578" s="271">
        <f t="shared" si="79"/>
        <v>-7.2312500000000002</v>
      </c>
      <c r="J578" s="271">
        <f t="shared" si="80"/>
        <v>-7.2312500000000002</v>
      </c>
    </row>
    <row r="579" spans="3:10">
      <c r="C579" s="191" t="s">
        <v>8</v>
      </c>
      <c r="D579" s="191">
        <v>2018</v>
      </c>
      <c r="E579" s="191" t="s">
        <v>49</v>
      </c>
      <c r="F579" s="193" t="s">
        <v>183</v>
      </c>
      <c r="G579" s="193" t="s">
        <v>427</v>
      </c>
      <c r="H579" s="193" t="s">
        <v>285</v>
      </c>
      <c r="I579" s="271">
        <f t="shared" si="79"/>
        <v>-7.2312500000000002</v>
      </c>
      <c r="J579" s="271">
        <f t="shared" si="80"/>
        <v>-7.2312500000000002</v>
      </c>
    </row>
    <row r="580" spans="3:10">
      <c r="C580" s="191" t="s">
        <v>8</v>
      </c>
      <c r="D580" s="191">
        <v>2019</v>
      </c>
      <c r="E580" s="191" t="s">
        <v>49</v>
      </c>
      <c r="F580" s="193" t="s">
        <v>183</v>
      </c>
      <c r="G580" s="193" t="s">
        <v>427</v>
      </c>
      <c r="H580" s="193" t="s">
        <v>285</v>
      </c>
      <c r="I580" s="271">
        <f t="shared" si="79"/>
        <v>0</v>
      </c>
      <c r="J580" s="271">
        <f t="shared" si="80"/>
        <v>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Ark2">
    <tabColor rgb="FF00B0F0"/>
  </sheetPr>
  <dimension ref="A1:AC58"/>
  <sheetViews>
    <sheetView topLeftCell="A10" zoomScale="85" zoomScaleNormal="85" workbookViewId="0">
      <selection activeCell="C29" sqref="C29"/>
    </sheetView>
  </sheetViews>
  <sheetFormatPr defaultColWidth="9.109375" defaultRowHeight="14.4"/>
  <cols>
    <col min="1" max="1" width="9.5546875" style="29" customWidth="1"/>
    <col min="2" max="2" width="26.109375" style="29" customWidth="1"/>
    <col min="3" max="16" width="17" style="29" customWidth="1"/>
    <col min="17" max="29" width="22.44140625" style="29" customWidth="1"/>
    <col min="30" max="16384" width="9.109375" style="29"/>
  </cols>
  <sheetData>
    <row r="1" spans="1:29" ht="18" customHeight="1">
      <c r="F1" s="29" t="s">
        <v>3</v>
      </c>
    </row>
    <row r="2" spans="1:29" ht="19.5" customHeight="1">
      <c r="A2" s="29" t="s">
        <v>34</v>
      </c>
    </row>
    <row r="4" spans="1:29">
      <c r="A4" s="29" t="s">
        <v>2</v>
      </c>
    </row>
    <row r="5" spans="1:29" ht="18">
      <c r="A5" s="42">
        <v>42426</v>
      </c>
      <c r="B5" s="44" t="s">
        <v>155</v>
      </c>
    </row>
    <row r="7" spans="1:29">
      <c r="A7" s="29" t="s">
        <v>35</v>
      </c>
    </row>
    <row r="8" spans="1:29">
      <c r="A8" s="43" t="s">
        <v>158</v>
      </c>
    </row>
    <row r="9" spans="1:29">
      <c r="A9" s="29" t="s">
        <v>42</v>
      </c>
    </row>
    <row r="11" spans="1:29">
      <c r="A11" s="29" t="s">
        <v>109</v>
      </c>
      <c r="B11" s="29" t="s">
        <v>110</v>
      </c>
    </row>
    <row r="12" spans="1:29">
      <c r="A12" s="29" t="s">
        <v>111</v>
      </c>
      <c r="B12" s="29" t="s">
        <v>112</v>
      </c>
    </row>
    <row r="13" spans="1:29" ht="18">
      <c r="A13" s="29" t="s">
        <v>113</v>
      </c>
      <c r="B13" s="42">
        <v>42426</v>
      </c>
    </row>
    <row r="14" spans="1:29" ht="114" customHeight="1">
      <c r="A14" s="29" t="s">
        <v>114</v>
      </c>
      <c r="B14" s="29" t="s">
        <v>115</v>
      </c>
      <c r="C14" s="29" t="s">
        <v>116</v>
      </c>
      <c r="D14" s="29" t="s">
        <v>115</v>
      </c>
      <c r="E14" s="29" t="s">
        <v>115</v>
      </c>
      <c r="F14" s="29" t="s">
        <v>117</v>
      </c>
      <c r="G14" s="29" t="s">
        <v>118</v>
      </c>
      <c r="H14" s="29" t="s">
        <v>119</v>
      </c>
      <c r="I14" s="29" t="s">
        <v>120</v>
      </c>
      <c r="J14" s="29" t="s">
        <v>120</v>
      </c>
      <c r="K14" s="29" t="s">
        <v>121</v>
      </c>
      <c r="L14" s="29" t="s">
        <v>122</v>
      </c>
      <c r="M14" s="29" t="s">
        <v>121</v>
      </c>
      <c r="N14" s="29" t="s">
        <v>123</v>
      </c>
      <c r="O14" s="29" t="s">
        <v>124</v>
      </c>
      <c r="P14" s="29" t="s">
        <v>125</v>
      </c>
      <c r="Q14" s="29" t="s">
        <v>126</v>
      </c>
      <c r="R14" s="29" t="s">
        <v>115</v>
      </c>
      <c r="S14" s="29" t="s">
        <v>115</v>
      </c>
      <c r="T14" s="29" t="s">
        <v>115</v>
      </c>
      <c r="U14" s="29" t="s">
        <v>115</v>
      </c>
      <c r="V14" s="29" t="s">
        <v>115</v>
      </c>
      <c r="W14" s="29" t="s">
        <v>115</v>
      </c>
      <c r="X14" s="29" t="s">
        <v>115</v>
      </c>
      <c r="Y14" s="29" t="s">
        <v>115</v>
      </c>
      <c r="Z14" s="29" t="s">
        <v>115</v>
      </c>
      <c r="AA14" s="29" t="s">
        <v>115</v>
      </c>
      <c r="AB14" s="29" t="s">
        <v>115</v>
      </c>
      <c r="AC14" s="29" t="s">
        <v>115</v>
      </c>
    </row>
    <row r="15" spans="1:29">
      <c r="A15" s="29" t="s">
        <v>127</v>
      </c>
      <c r="B15" s="29" t="s">
        <v>128</v>
      </c>
      <c r="C15" s="29" t="s">
        <v>55</v>
      </c>
      <c r="D15" s="29" t="s">
        <v>129</v>
      </c>
      <c r="E15" s="29" t="s">
        <v>130</v>
      </c>
      <c r="F15" s="29" t="s">
        <v>101</v>
      </c>
      <c r="G15" s="29" t="s">
        <v>10</v>
      </c>
      <c r="H15" s="29" t="s">
        <v>70</v>
      </c>
      <c r="I15" s="29" t="s">
        <v>9</v>
      </c>
      <c r="J15" s="151" t="s">
        <v>474</v>
      </c>
      <c r="K15" s="29" t="s">
        <v>131</v>
      </c>
      <c r="L15" s="29" t="s">
        <v>71</v>
      </c>
      <c r="M15" s="29" t="s">
        <v>51</v>
      </c>
      <c r="N15" s="29" t="s">
        <v>72</v>
      </c>
      <c r="O15" s="29" t="s">
        <v>132</v>
      </c>
      <c r="P15" s="29" t="s">
        <v>52</v>
      </c>
      <c r="Q15" s="29" t="s">
        <v>11</v>
      </c>
      <c r="R15" s="29" t="s">
        <v>53</v>
      </c>
      <c r="S15" s="29" t="s">
        <v>54</v>
      </c>
      <c r="T15" s="29" t="s">
        <v>133</v>
      </c>
      <c r="U15" s="29" t="s">
        <v>134</v>
      </c>
    </row>
    <row r="16" spans="1:29">
      <c r="A16" s="29" t="s">
        <v>135</v>
      </c>
      <c r="B16" s="29" t="s">
        <v>136</v>
      </c>
      <c r="C16" s="29" t="s">
        <v>137</v>
      </c>
      <c r="D16" s="29" t="s">
        <v>138</v>
      </c>
      <c r="E16" s="29" t="s">
        <v>139</v>
      </c>
      <c r="F16" s="29" t="s">
        <v>28</v>
      </c>
      <c r="G16" s="29" t="s">
        <v>29</v>
      </c>
      <c r="H16" s="29" t="s">
        <v>30</v>
      </c>
      <c r="I16" s="29" t="s">
        <v>140</v>
      </c>
      <c r="J16" s="29" t="s">
        <v>140</v>
      </c>
      <c r="K16" s="29" t="s">
        <v>141</v>
      </c>
      <c r="L16" s="29" t="s">
        <v>142</v>
      </c>
      <c r="M16" s="29" t="s">
        <v>31</v>
      </c>
      <c r="N16" s="29" t="s">
        <v>143</v>
      </c>
      <c r="O16" s="29" t="s">
        <v>144</v>
      </c>
      <c r="P16" s="29" t="s">
        <v>33</v>
      </c>
      <c r="Q16" s="29" t="s">
        <v>32</v>
      </c>
      <c r="R16" s="29" t="s">
        <v>145</v>
      </c>
      <c r="S16" s="29" t="s">
        <v>146</v>
      </c>
      <c r="T16" s="29" t="s">
        <v>147</v>
      </c>
      <c r="U16" s="29" t="s">
        <v>148</v>
      </c>
    </row>
    <row r="17" spans="1:29">
      <c r="B17" s="151" t="s">
        <v>296</v>
      </c>
      <c r="C17" s="151" t="s">
        <v>296</v>
      </c>
      <c r="D17" s="151" t="s">
        <v>296</v>
      </c>
      <c r="E17" s="151" t="s">
        <v>296</v>
      </c>
      <c r="F17" s="151" t="s">
        <v>296</v>
      </c>
      <c r="G17" s="151" t="s">
        <v>296</v>
      </c>
      <c r="H17" s="151" t="s">
        <v>296</v>
      </c>
      <c r="I17" s="151" t="s">
        <v>296</v>
      </c>
      <c r="J17" s="151" t="s">
        <v>296</v>
      </c>
      <c r="K17" s="151" t="s">
        <v>296</v>
      </c>
      <c r="L17" s="151" t="s">
        <v>296</v>
      </c>
      <c r="M17" s="151" t="s">
        <v>296</v>
      </c>
      <c r="N17" s="151" t="s">
        <v>296</v>
      </c>
      <c r="O17" s="151" t="s">
        <v>296</v>
      </c>
      <c r="P17" s="151" t="s">
        <v>296</v>
      </c>
      <c r="Q17" s="151" t="s">
        <v>296</v>
      </c>
      <c r="R17" s="151" t="s">
        <v>296</v>
      </c>
      <c r="S17" s="151" t="s">
        <v>296</v>
      </c>
      <c r="T17" s="151" t="s">
        <v>296</v>
      </c>
      <c r="U17" s="151" t="s">
        <v>296</v>
      </c>
      <c r="V17" s="151" t="s">
        <v>296</v>
      </c>
      <c r="W17" s="151" t="s">
        <v>296</v>
      </c>
      <c r="X17" s="151" t="s">
        <v>296</v>
      </c>
      <c r="Y17" s="151" t="s">
        <v>296</v>
      </c>
      <c r="Z17" s="151" t="s">
        <v>296</v>
      </c>
      <c r="AA17" s="151" t="s">
        <v>296</v>
      </c>
      <c r="AB17" s="151" t="s">
        <v>296</v>
      </c>
      <c r="AC17" s="29" t="s">
        <v>149</v>
      </c>
    </row>
    <row r="18" spans="1:29">
      <c r="A18" s="29">
        <v>2010</v>
      </c>
      <c r="B18" s="120">
        <v>0</v>
      </c>
      <c r="C18" s="69">
        <v>157.33177307876053</v>
      </c>
      <c r="D18" s="120">
        <v>0</v>
      </c>
      <c r="E18" s="120">
        <v>0</v>
      </c>
      <c r="F18" s="69">
        <v>59.549354404929765</v>
      </c>
      <c r="G18" s="69">
        <v>55.769961964079862</v>
      </c>
      <c r="H18" s="69">
        <v>71.763649059011556</v>
      </c>
      <c r="I18" s="69">
        <v>58.92580095566354</v>
      </c>
      <c r="J18" s="69">
        <v>58.92580095566354</v>
      </c>
      <c r="K18" s="69">
        <v>58.92580095566354</v>
      </c>
      <c r="L18" s="69">
        <v>71.763649059011556</v>
      </c>
      <c r="M18" s="69">
        <v>58.92580095566354</v>
      </c>
      <c r="N18" s="120">
        <v>0</v>
      </c>
      <c r="O18" s="120">
        <v>0</v>
      </c>
      <c r="P18" s="120">
        <v>0</v>
      </c>
      <c r="Q18" s="69">
        <v>19.180855397148676</v>
      </c>
      <c r="R18" s="120">
        <v>0</v>
      </c>
      <c r="S18" s="120">
        <v>0</v>
      </c>
      <c r="T18" s="120">
        <v>0</v>
      </c>
      <c r="U18" s="120">
        <v>0</v>
      </c>
      <c r="V18" s="121">
        <v>52.8</v>
      </c>
      <c r="W18" s="41">
        <v>0</v>
      </c>
      <c r="X18" s="41">
        <v>0</v>
      </c>
      <c r="Y18" s="41">
        <v>0</v>
      </c>
      <c r="Z18" s="41">
        <v>0</v>
      </c>
      <c r="AA18" s="41">
        <v>0</v>
      </c>
      <c r="AB18" s="41">
        <v>0</v>
      </c>
      <c r="AC18" s="41">
        <v>0</v>
      </c>
    </row>
    <row r="19" spans="1:29">
      <c r="A19" s="29">
        <v>2011</v>
      </c>
      <c r="B19" s="120">
        <v>0</v>
      </c>
      <c r="C19" s="69">
        <v>172.81957055706417</v>
      </c>
      <c r="D19" s="120">
        <v>0</v>
      </c>
      <c r="E19" s="120">
        <v>0</v>
      </c>
      <c r="F19" s="69">
        <v>59.175222335369995</v>
      </c>
      <c r="G19" s="69">
        <v>58.438842754565691</v>
      </c>
      <c r="H19" s="69">
        <v>71.23967889040803</v>
      </c>
      <c r="I19" s="69">
        <v>58.465930286829597</v>
      </c>
      <c r="J19" s="69">
        <v>58.465930286829597</v>
      </c>
      <c r="K19" s="69">
        <v>58.465930286829597</v>
      </c>
      <c r="L19" s="69">
        <v>71.23967889040803</v>
      </c>
      <c r="M19" s="69">
        <v>58.465930286829597</v>
      </c>
      <c r="N19" s="120">
        <v>0</v>
      </c>
      <c r="O19" s="120">
        <v>0</v>
      </c>
      <c r="P19" s="120">
        <v>0</v>
      </c>
      <c r="Q19" s="69">
        <v>20.697708757637471</v>
      </c>
      <c r="R19" s="120">
        <v>0</v>
      </c>
      <c r="S19" s="120">
        <v>0</v>
      </c>
      <c r="T19" s="120">
        <v>0</v>
      </c>
      <c r="U19" s="120">
        <v>0</v>
      </c>
      <c r="V19" s="122">
        <v>53.9</v>
      </c>
      <c r="W19" s="41">
        <v>0</v>
      </c>
      <c r="X19" s="41">
        <v>0</v>
      </c>
      <c r="Y19" s="41">
        <v>0</v>
      </c>
      <c r="Z19" s="41">
        <v>0</v>
      </c>
      <c r="AA19" s="41">
        <v>0</v>
      </c>
      <c r="AB19" s="41">
        <v>0</v>
      </c>
      <c r="AC19" s="41">
        <v>0</v>
      </c>
    </row>
    <row r="20" spans="1:29">
      <c r="A20" s="29">
        <v>2012</v>
      </c>
      <c r="B20" s="120">
        <v>0</v>
      </c>
      <c r="C20" s="69">
        <v>172.40168985848894</v>
      </c>
      <c r="D20" s="120">
        <v>0</v>
      </c>
      <c r="E20" s="120">
        <v>0</v>
      </c>
      <c r="F20" s="69">
        <v>59.080732947659094</v>
      </c>
      <c r="G20" s="69">
        <v>59.455933121894155</v>
      </c>
      <c r="H20" s="69">
        <v>70.704271349720983</v>
      </c>
      <c r="I20" s="69">
        <v>58.483957867379701</v>
      </c>
      <c r="J20" s="69">
        <v>58.483957867379701</v>
      </c>
      <c r="K20" s="69">
        <v>58.483957867379701</v>
      </c>
      <c r="L20" s="69">
        <v>70.704271349720983</v>
      </c>
      <c r="M20" s="69">
        <v>58.483957867379701</v>
      </c>
      <c r="N20" s="120">
        <v>0</v>
      </c>
      <c r="O20" s="120">
        <v>0</v>
      </c>
      <c r="P20" s="120">
        <v>0</v>
      </c>
      <c r="Q20" s="69">
        <v>22.5081466395112</v>
      </c>
      <c r="R20" s="120">
        <v>0</v>
      </c>
      <c r="S20" s="120">
        <v>0</v>
      </c>
      <c r="T20" s="120">
        <v>0</v>
      </c>
      <c r="U20" s="120">
        <v>0</v>
      </c>
      <c r="V20" s="122">
        <v>54.8</v>
      </c>
      <c r="W20" s="41">
        <v>0</v>
      </c>
      <c r="X20" s="41">
        <v>0</v>
      </c>
      <c r="Y20" s="41">
        <v>0</v>
      </c>
      <c r="Z20" s="41">
        <v>0</v>
      </c>
      <c r="AA20" s="41">
        <v>0</v>
      </c>
      <c r="AB20" s="41">
        <v>0</v>
      </c>
      <c r="AC20" s="41">
        <v>0</v>
      </c>
    </row>
    <row r="21" spans="1:29">
      <c r="A21" s="29">
        <v>2013</v>
      </c>
      <c r="B21" s="120">
        <v>0</v>
      </c>
      <c r="C21" s="69">
        <v>93.448696436694405</v>
      </c>
      <c r="D21" s="120">
        <v>0</v>
      </c>
      <c r="E21" s="120">
        <v>0</v>
      </c>
      <c r="F21" s="69">
        <v>64.668690278976968</v>
      </c>
      <c r="G21" s="69">
        <v>65.041823020011606</v>
      </c>
      <c r="H21" s="69">
        <v>70.872583275214268</v>
      </c>
      <c r="I21" s="69">
        <v>58.995998149242141</v>
      </c>
      <c r="J21" s="69">
        <v>58.995998149242141</v>
      </c>
      <c r="K21" s="69">
        <v>58.995998149242141</v>
      </c>
      <c r="L21" s="69">
        <v>70.872583275214268</v>
      </c>
      <c r="M21" s="69">
        <v>58.995998149242141</v>
      </c>
      <c r="N21" s="120">
        <v>0</v>
      </c>
      <c r="O21" s="120">
        <v>0</v>
      </c>
      <c r="P21" s="120">
        <v>0</v>
      </c>
      <c r="Q21" s="69">
        <v>27.499083503054987</v>
      </c>
      <c r="R21" s="120">
        <v>0</v>
      </c>
      <c r="S21" s="120">
        <v>0</v>
      </c>
      <c r="T21" s="120">
        <v>0</v>
      </c>
      <c r="U21" s="120">
        <v>0</v>
      </c>
      <c r="V21" s="122">
        <v>44.7</v>
      </c>
      <c r="W21" s="41">
        <v>0</v>
      </c>
      <c r="X21" s="41">
        <v>0</v>
      </c>
      <c r="Y21" s="41">
        <v>0</v>
      </c>
      <c r="Z21" s="41">
        <v>0</v>
      </c>
      <c r="AA21" s="41">
        <v>0</v>
      </c>
      <c r="AB21" s="41">
        <v>0</v>
      </c>
      <c r="AC21" s="41">
        <v>0</v>
      </c>
    </row>
    <row r="22" spans="1:29">
      <c r="A22" s="29">
        <v>2014</v>
      </c>
      <c r="B22" s="120">
        <v>0</v>
      </c>
      <c r="C22" s="69">
        <v>111.99705815795429</v>
      </c>
      <c r="D22" s="120">
        <v>0</v>
      </c>
      <c r="E22" s="120">
        <v>0</v>
      </c>
      <c r="F22" s="69">
        <v>70.264562118126264</v>
      </c>
      <c r="G22" s="69">
        <v>70.755807505394102</v>
      </c>
      <c r="H22" s="69">
        <v>71.583375409175758</v>
      </c>
      <c r="I22" s="69">
        <v>59.597657841140524</v>
      </c>
      <c r="J22" s="69">
        <v>59.597657841140524</v>
      </c>
      <c r="K22" s="69">
        <v>59.597657841140524</v>
      </c>
      <c r="L22" s="69">
        <v>71.583375409175758</v>
      </c>
      <c r="M22" s="69">
        <v>59.597657841140524</v>
      </c>
      <c r="N22" s="120">
        <v>0</v>
      </c>
      <c r="O22" s="120">
        <v>0</v>
      </c>
      <c r="P22" s="120">
        <v>0</v>
      </c>
      <c r="Q22" s="69">
        <v>32.587881873727085</v>
      </c>
      <c r="R22" s="120">
        <v>0</v>
      </c>
      <c r="S22" s="120">
        <v>0</v>
      </c>
      <c r="T22" s="120">
        <v>0</v>
      </c>
      <c r="U22" s="120">
        <v>0</v>
      </c>
      <c r="V22" s="123">
        <v>45.5</v>
      </c>
      <c r="W22" s="41">
        <v>0</v>
      </c>
      <c r="X22" s="41">
        <v>0</v>
      </c>
      <c r="Y22" s="41">
        <v>0</v>
      </c>
      <c r="Z22" s="41">
        <v>0</v>
      </c>
      <c r="AA22" s="41">
        <v>0</v>
      </c>
      <c r="AB22" s="41">
        <v>0</v>
      </c>
      <c r="AC22" s="41">
        <v>0</v>
      </c>
    </row>
    <row r="23" spans="1:29">
      <c r="A23" s="29">
        <v>2015</v>
      </c>
      <c r="B23" s="120">
        <v>0</v>
      </c>
      <c r="C23" s="69">
        <v>106.4</v>
      </c>
      <c r="D23" s="120">
        <v>0</v>
      </c>
      <c r="E23" s="120">
        <v>0</v>
      </c>
      <c r="F23" s="69">
        <v>54.9</v>
      </c>
      <c r="G23" s="69">
        <v>54.9</v>
      </c>
      <c r="H23" s="69">
        <v>75.2</v>
      </c>
      <c r="I23" s="69">
        <v>54.9</v>
      </c>
      <c r="J23" s="69">
        <v>54.9</v>
      </c>
      <c r="K23" s="69">
        <v>54.9</v>
      </c>
      <c r="L23" s="69">
        <v>75.2</v>
      </c>
      <c r="M23" s="69">
        <v>54.9</v>
      </c>
      <c r="N23" s="120">
        <v>0</v>
      </c>
      <c r="O23" s="120">
        <v>0</v>
      </c>
      <c r="P23" s="120">
        <v>0</v>
      </c>
      <c r="Q23" s="69">
        <v>31.995491803278689</v>
      </c>
      <c r="R23" s="120">
        <v>0</v>
      </c>
      <c r="S23" s="120">
        <v>0</v>
      </c>
      <c r="T23" s="120">
        <v>0</v>
      </c>
      <c r="U23" s="120">
        <v>0</v>
      </c>
      <c r="V23" s="124">
        <v>50</v>
      </c>
      <c r="W23" s="41">
        <v>0</v>
      </c>
      <c r="X23" s="41">
        <v>0</v>
      </c>
      <c r="Y23" s="41">
        <v>0</v>
      </c>
      <c r="Z23" s="41">
        <v>0</v>
      </c>
      <c r="AA23" s="41">
        <v>0</v>
      </c>
      <c r="AB23" s="41">
        <v>0</v>
      </c>
      <c r="AC23" s="41">
        <v>0</v>
      </c>
    </row>
    <row r="24" spans="1:29">
      <c r="A24" s="29">
        <v>2016</v>
      </c>
      <c r="B24" s="120">
        <v>0</v>
      </c>
      <c r="C24" s="69">
        <v>106.4</v>
      </c>
      <c r="D24" s="120">
        <v>0</v>
      </c>
      <c r="E24" s="120">
        <v>0</v>
      </c>
      <c r="F24" s="69">
        <v>54.9</v>
      </c>
      <c r="G24" s="69">
        <v>54.9</v>
      </c>
      <c r="H24" s="69">
        <v>75.2</v>
      </c>
      <c r="I24" s="69">
        <v>54.9</v>
      </c>
      <c r="J24" s="69">
        <v>54.9</v>
      </c>
      <c r="K24" s="69">
        <v>54.9</v>
      </c>
      <c r="L24" s="69">
        <v>75.2</v>
      </c>
      <c r="M24" s="69">
        <v>54.9</v>
      </c>
      <c r="N24" s="120">
        <v>0</v>
      </c>
      <c r="O24" s="120">
        <v>0</v>
      </c>
      <c r="P24" s="120">
        <v>0</v>
      </c>
      <c r="Q24" s="69">
        <v>31.995491803278689</v>
      </c>
      <c r="R24" s="120">
        <v>0</v>
      </c>
      <c r="S24" s="120">
        <v>0</v>
      </c>
      <c r="T24" s="120">
        <v>0</v>
      </c>
      <c r="U24" s="120">
        <v>0</v>
      </c>
      <c r="V24" s="124">
        <v>50</v>
      </c>
      <c r="W24" s="41">
        <v>0</v>
      </c>
      <c r="X24" s="41">
        <v>0</v>
      </c>
      <c r="Y24" s="41">
        <v>0</v>
      </c>
      <c r="Z24" s="41">
        <v>0</v>
      </c>
      <c r="AA24" s="41">
        <v>0</v>
      </c>
      <c r="AB24" s="41">
        <v>0</v>
      </c>
      <c r="AC24" s="41">
        <v>0</v>
      </c>
    </row>
    <row r="25" spans="1:29">
      <c r="A25" s="29">
        <v>2017</v>
      </c>
      <c r="B25" s="120">
        <v>0</v>
      </c>
      <c r="C25" s="69">
        <f>40.5/3.6*1000/100</f>
        <v>112.5</v>
      </c>
      <c r="D25" s="120">
        <v>0</v>
      </c>
      <c r="E25" s="120">
        <v>0</v>
      </c>
      <c r="F25" s="69">
        <v>54.9</v>
      </c>
      <c r="G25" s="69">
        <v>54.9</v>
      </c>
      <c r="H25" s="69">
        <v>75.2</v>
      </c>
      <c r="I25" s="69">
        <v>54.9</v>
      </c>
      <c r="J25" s="69">
        <v>54.9</v>
      </c>
      <c r="K25" s="69">
        <v>54.9</v>
      </c>
      <c r="L25" s="69">
        <v>75.2</v>
      </c>
      <c r="M25" s="69">
        <v>54.9</v>
      </c>
      <c r="N25" s="120">
        <v>0</v>
      </c>
      <c r="O25" s="120">
        <v>0</v>
      </c>
      <c r="P25" s="120">
        <v>0</v>
      </c>
      <c r="Q25" s="69">
        <v>31.995491803278689</v>
      </c>
      <c r="R25" s="120">
        <v>0</v>
      </c>
      <c r="S25" s="120">
        <v>0</v>
      </c>
      <c r="T25" s="120">
        <v>0</v>
      </c>
      <c r="U25" s="120">
        <v>0</v>
      </c>
      <c r="V25" s="124">
        <v>50</v>
      </c>
      <c r="W25" s="41">
        <v>0</v>
      </c>
      <c r="X25" s="41">
        <v>0</v>
      </c>
      <c r="Y25" s="41">
        <v>0</v>
      </c>
      <c r="Z25" s="41">
        <v>0</v>
      </c>
      <c r="AA25" s="41">
        <v>0</v>
      </c>
      <c r="AB25" s="41">
        <v>0</v>
      </c>
      <c r="AC25" s="41">
        <v>0</v>
      </c>
    </row>
    <row r="26" spans="1:29">
      <c r="A26" s="29">
        <v>2018</v>
      </c>
      <c r="B26" s="120">
        <v>0</v>
      </c>
      <c r="C26" s="69">
        <f>25.5/3.6*1000/100</f>
        <v>70.833333333333329</v>
      </c>
      <c r="D26" s="120">
        <v>0</v>
      </c>
      <c r="E26" s="120">
        <v>0</v>
      </c>
      <c r="F26" s="69">
        <v>54.9</v>
      </c>
      <c r="G26" s="69">
        <v>54.9</v>
      </c>
      <c r="H26" s="69">
        <v>75.2</v>
      </c>
      <c r="I26" s="69">
        <v>54.9</v>
      </c>
      <c r="J26" s="69">
        <v>54.9</v>
      </c>
      <c r="K26" s="69">
        <v>54.9</v>
      </c>
      <c r="L26" s="69">
        <v>75.2</v>
      </c>
      <c r="M26" s="69">
        <v>54.9</v>
      </c>
      <c r="N26" s="120">
        <v>0</v>
      </c>
      <c r="O26" s="120">
        <v>0</v>
      </c>
      <c r="P26" s="120">
        <v>0</v>
      </c>
      <c r="Q26" s="69">
        <v>31.995491803278689</v>
      </c>
      <c r="R26" s="120">
        <v>0</v>
      </c>
      <c r="S26" s="120">
        <v>0</v>
      </c>
      <c r="T26" s="120">
        <v>0</v>
      </c>
      <c r="U26" s="120">
        <v>0</v>
      </c>
      <c r="V26" s="124">
        <v>50</v>
      </c>
      <c r="W26" s="41">
        <v>0</v>
      </c>
      <c r="X26" s="41">
        <v>0</v>
      </c>
      <c r="Y26" s="41">
        <v>0</v>
      </c>
      <c r="Z26" s="41">
        <v>0</v>
      </c>
      <c r="AA26" s="41">
        <v>0</v>
      </c>
      <c r="AB26" s="41">
        <v>0</v>
      </c>
      <c r="AC26" s="41">
        <v>0</v>
      </c>
    </row>
    <row r="27" spans="1:29">
      <c r="A27" s="29">
        <v>2019</v>
      </c>
      <c r="B27" s="120">
        <v>0</v>
      </c>
      <c r="C27" s="69">
        <f>25.5/3.6*1000/100</f>
        <v>70.833333333333329</v>
      </c>
      <c r="D27" s="120">
        <v>0</v>
      </c>
      <c r="E27" s="120">
        <v>0</v>
      </c>
      <c r="F27" s="69">
        <v>54.9</v>
      </c>
      <c r="G27" s="69">
        <v>54.9</v>
      </c>
      <c r="H27" s="69">
        <v>75.2</v>
      </c>
      <c r="I27" s="69">
        <v>54.9</v>
      </c>
      <c r="J27" s="69">
        <v>54.9</v>
      </c>
      <c r="K27" s="69">
        <v>54.9</v>
      </c>
      <c r="L27" s="69">
        <v>75.2</v>
      </c>
      <c r="M27" s="69">
        <v>54.9</v>
      </c>
      <c r="N27" s="120">
        <v>0</v>
      </c>
      <c r="O27" s="120">
        <v>0</v>
      </c>
      <c r="P27" s="120">
        <v>0</v>
      </c>
      <c r="Q27" s="69">
        <v>31.995491803278689</v>
      </c>
      <c r="R27" s="120">
        <v>0</v>
      </c>
      <c r="S27" s="120">
        <v>0</v>
      </c>
      <c r="T27" s="120">
        <v>0</v>
      </c>
      <c r="U27" s="120">
        <v>0</v>
      </c>
      <c r="V27" s="124">
        <v>50</v>
      </c>
      <c r="W27" s="41">
        <v>0</v>
      </c>
      <c r="X27" s="41">
        <v>0</v>
      </c>
      <c r="Y27" s="41">
        <v>0</v>
      </c>
      <c r="Z27" s="41">
        <v>0</v>
      </c>
      <c r="AA27" s="41">
        <v>0</v>
      </c>
      <c r="AB27" s="41">
        <v>0</v>
      </c>
      <c r="AC27" s="41">
        <v>0</v>
      </c>
    </row>
    <row r="28" spans="1:29">
      <c r="A28" s="29">
        <v>2020</v>
      </c>
      <c r="B28" s="120">
        <v>0</v>
      </c>
      <c r="C28" s="69">
        <f>15.5/3.6*1000/100</f>
        <v>43.055555555555557</v>
      </c>
      <c r="D28" s="120">
        <v>0</v>
      </c>
      <c r="E28" s="120">
        <v>0</v>
      </c>
      <c r="F28" s="69">
        <v>54.9</v>
      </c>
      <c r="G28" s="69">
        <v>54.9</v>
      </c>
      <c r="H28" s="69">
        <v>75.2</v>
      </c>
      <c r="I28" s="69">
        <v>54.9</v>
      </c>
      <c r="J28" s="69">
        <v>54.9</v>
      </c>
      <c r="K28" s="69">
        <v>54.9</v>
      </c>
      <c r="L28" s="69">
        <v>75.2</v>
      </c>
      <c r="M28" s="69">
        <v>54.9</v>
      </c>
      <c r="N28" s="120">
        <v>0</v>
      </c>
      <c r="O28" s="120">
        <v>0</v>
      </c>
      <c r="P28" s="120">
        <v>0</v>
      </c>
      <c r="Q28" s="69">
        <v>31.995491803278689</v>
      </c>
      <c r="R28" s="120">
        <v>0</v>
      </c>
      <c r="S28" s="120">
        <v>0</v>
      </c>
      <c r="T28" s="120">
        <v>0</v>
      </c>
      <c r="U28" s="120">
        <v>0</v>
      </c>
      <c r="V28" s="124">
        <v>50</v>
      </c>
      <c r="W28" s="41">
        <v>0</v>
      </c>
      <c r="X28" s="41">
        <v>0</v>
      </c>
      <c r="Y28" s="41">
        <v>0</v>
      </c>
      <c r="Z28" s="41">
        <v>0</v>
      </c>
      <c r="AA28" s="41">
        <v>0</v>
      </c>
      <c r="AB28" s="41">
        <v>0</v>
      </c>
      <c r="AC28" s="41">
        <v>0</v>
      </c>
    </row>
    <row r="29" spans="1:29">
      <c r="A29" s="29">
        <v>2021</v>
      </c>
      <c r="B29" s="120">
        <v>0</v>
      </c>
      <c r="C29" s="69">
        <v>41.666666666666671</v>
      </c>
      <c r="D29" s="120">
        <v>0</v>
      </c>
      <c r="E29" s="120">
        <v>0</v>
      </c>
      <c r="F29" s="69">
        <v>54.9</v>
      </c>
      <c r="G29" s="69">
        <v>54.9</v>
      </c>
      <c r="H29" s="69">
        <v>75.2</v>
      </c>
      <c r="I29" s="69">
        <v>54.9</v>
      </c>
      <c r="J29" s="69">
        <v>54.9</v>
      </c>
      <c r="K29" s="69">
        <v>54.9</v>
      </c>
      <c r="L29" s="69">
        <v>75.2</v>
      </c>
      <c r="M29" s="69">
        <v>54.9</v>
      </c>
      <c r="N29" s="120">
        <v>0</v>
      </c>
      <c r="O29" s="120">
        <v>0</v>
      </c>
      <c r="P29" s="120">
        <v>0</v>
      </c>
      <c r="Q29" s="69">
        <v>31.995491803278689</v>
      </c>
      <c r="R29" s="120">
        <v>0</v>
      </c>
      <c r="S29" s="120">
        <v>0</v>
      </c>
      <c r="T29" s="120">
        <v>0</v>
      </c>
      <c r="U29" s="120">
        <v>0</v>
      </c>
      <c r="V29" s="124">
        <v>50</v>
      </c>
      <c r="W29" s="41">
        <v>0</v>
      </c>
      <c r="X29" s="41">
        <v>0</v>
      </c>
      <c r="Y29" s="41">
        <v>0</v>
      </c>
      <c r="Z29" s="41">
        <v>0</v>
      </c>
      <c r="AA29" s="41">
        <v>0</v>
      </c>
      <c r="AB29" s="41">
        <v>0</v>
      </c>
      <c r="AC29" s="41">
        <v>0</v>
      </c>
    </row>
    <row r="30" spans="1:29">
      <c r="A30" s="29">
        <v>2022</v>
      </c>
      <c r="B30" s="120">
        <v>0</v>
      </c>
      <c r="C30" s="69">
        <v>41.666666666666671</v>
      </c>
      <c r="D30" s="120">
        <v>0</v>
      </c>
      <c r="E30" s="120">
        <v>0</v>
      </c>
      <c r="F30" s="69">
        <v>54.9</v>
      </c>
      <c r="G30" s="69">
        <v>54.9</v>
      </c>
      <c r="H30" s="69">
        <v>75.2</v>
      </c>
      <c r="I30" s="69">
        <v>54.9</v>
      </c>
      <c r="J30" s="69">
        <v>54.9</v>
      </c>
      <c r="K30" s="69">
        <v>54.9</v>
      </c>
      <c r="L30" s="69">
        <v>75.2</v>
      </c>
      <c r="M30" s="69">
        <v>54.9</v>
      </c>
      <c r="N30" s="120">
        <v>0</v>
      </c>
      <c r="O30" s="120">
        <v>0</v>
      </c>
      <c r="P30" s="120">
        <v>0</v>
      </c>
      <c r="Q30" s="69">
        <v>31.995491803278689</v>
      </c>
      <c r="R30" s="120">
        <v>0</v>
      </c>
      <c r="S30" s="120">
        <v>0</v>
      </c>
      <c r="T30" s="120">
        <v>0</v>
      </c>
      <c r="U30" s="120">
        <v>0</v>
      </c>
      <c r="V30" s="124">
        <v>50</v>
      </c>
      <c r="W30" s="41">
        <v>0</v>
      </c>
      <c r="X30" s="41">
        <v>0</v>
      </c>
      <c r="Y30" s="41">
        <v>0</v>
      </c>
      <c r="Z30" s="41">
        <v>0</v>
      </c>
      <c r="AA30" s="41">
        <v>0</v>
      </c>
      <c r="AB30" s="41">
        <v>0</v>
      </c>
      <c r="AC30" s="41">
        <v>0</v>
      </c>
    </row>
    <row r="31" spans="1:29">
      <c r="A31" s="29">
        <v>2023</v>
      </c>
      <c r="B31" s="120">
        <v>0</v>
      </c>
      <c r="C31" s="69">
        <v>41.666666666666671</v>
      </c>
      <c r="D31" s="120">
        <v>0</v>
      </c>
      <c r="E31" s="120">
        <v>0</v>
      </c>
      <c r="F31" s="69">
        <v>54.9</v>
      </c>
      <c r="G31" s="69">
        <v>54.9</v>
      </c>
      <c r="H31" s="69">
        <v>75.2</v>
      </c>
      <c r="I31" s="69">
        <v>54.9</v>
      </c>
      <c r="J31" s="69">
        <v>54.9</v>
      </c>
      <c r="K31" s="69">
        <v>54.9</v>
      </c>
      <c r="L31" s="69">
        <v>75.2</v>
      </c>
      <c r="M31" s="69">
        <v>54.9</v>
      </c>
      <c r="N31" s="120">
        <v>0</v>
      </c>
      <c r="O31" s="120">
        <v>0</v>
      </c>
      <c r="P31" s="120">
        <v>0</v>
      </c>
      <c r="Q31" s="69">
        <v>31.995491803278689</v>
      </c>
      <c r="R31" s="120">
        <v>0</v>
      </c>
      <c r="S31" s="120">
        <v>0</v>
      </c>
      <c r="T31" s="120">
        <v>0</v>
      </c>
      <c r="U31" s="120">
        <v>0</v>
      </c>
      <c r="V31" s="124">
        <v>50</v>
      </c>
      <c r="W31" s="41">
        <v>0</v>
      </c>
      <c r="X31" s="41">
        <v>0</v>
      </c>
      <c r="Y31" s="41">
        <v>0</v>
      </c>
      <c r="Z31" s="41">
        <v>0</v>
      </c>
      <c r="AA31" s="41">
        <v>0</v>
      </c>
      <c r="AB31" s="41">
        <v>0</v>
      </c>
      <c r="AC31" s="41">
        <v>0</v>
      </c>
    </row>
    <row r="32" spans="1:29">
      <c r="A32" s="29">
        <v>2024</v>
      </c>
      <c r="B32" s="120">
        <v>0</v>
      </c>
      <c r="C32" s="69">
        <v>41.666666666666671</v>
      </c>
      <c r="D32" s="120">
        <v>0</v>
      </c>
      <c r="E32" s="120">
        <v>0</v>
      </c>
      <c r="F32" s="69">
        <v>54.9</v>
      </c>
      <c r="G32" s="69">
        <v>54.9</v>
      </c>
      <c r="H32" s="69">
        <v>75.2</v>
      </c>
      <c r="I32" s="69">
        <v>54.9</v>
      </c>
      <c r="J32" s="69">
        <v>54.9</v>
      </c>
      <c r="K32" s="69">
        <v>54.9</v>
      </c>
      <c r="L32" s="69">
        <v>75.2</v>
      </c>
      <c r="M32" s="69">
        <v>54.9</v>
      </c>
      <c r="N32" s="120">
        <v>0</v>
      </c>
      <c r="O32" s="120">
        <v>0</v>
      </c>
      <c r="P32" s="120">
        <v>0</v>
      </c>
      <c r="Q32" s="69">
        <v>31.995491803278689</v>
      </c>
      <c r="R32" s="120">
        <v>0</v>
      </c>
      <c r="S32" s="120">
        <v>0</v>
      </c>
      <c r="T32" s="120">
        <v>0</v>
      </c>
      <c r="U32" s="120">
        <v>0</v>
      </c>
      <c r="V32" s="124">
        <v>50</v>
      </c>
      <c r="W32" s="41">
        <v>0</v>
      </c>
      <c r="X32" s="41">
        <v>0</v>
      </c>
      <c r="Y32" s="41">
        <v>0</v>
      </c>
      <c r="Z32" s="41">
        <v>0</v>
      </c>
      <c r="AA32" s="41">
        <v>0</v>
      </c>
      <c r="AB32" s="41">
        <v>0</v>
      </c>
      <c r="AC32" s="41">
        <v>0</v>
      </c>
    </row>
    <row r="33" spans="1:29">
      <c r="A33" s="29">
        <v>2025</v>
      </c>
      <c r="B33" s="120">
        <v>0</v>
      </c>
      <c r="C33" s="69">
        <v>41.666666666666671</v>
      </c>
      <c r="D33" s="120">
        <v>0</v>
      </c>
      <c r="E33" s="120">
        <v>0</v>
      </c>
      <c r="F33" s="69">
        <v>54.9</v>
      </c>
      <c r="G33" s="69">
        <v>54.9</v>
      </c>
      <c r="H33" s="69">
        <v>75.2</v>
      </c>
      <c r="I33" s="69">
        <v>54.9</v>
      </c>
      <c r="J33" s="69">
        <v>54.9</v>
      </c>
      <c r="K33" s="69">
        <v>54.9</v>
      </c>
      <c r="L33" s="69">
        <v>75.2</v>
      </c>
      <c r="M33" s="69">
        <v>54.9</v>
      </c>
      <c r="N33" s="120">
        <v>0</v>
      </c>
      <c r="O33" s="120">
        <v>0</v>
      </c>
      <c r="P33" s="120">
        <v>0</v>
      </c>
      <c r="Q33" s="69">
        <v>31.995491803278689</v>
      </c>
      <c r="R33" s="120">
        <v>0</v>
      </c>
      <c r="S33" s="120">
        <v>0</v>
      </c>
      <c r="T33" s="120">
        <v>0</v>
      </c>
      <c r="U33" s="120">
        <v>0</v>
      </c>
      <c r="V33" s="124">
        <v>50</v>
      </c>
      <c r="W33" s="41">
        <v>0</v>
      </c>
      <c r="X33" s="41">
        <v>0</v>
      </c>
      <c r="Y33" s="41">
        <v>0</v>
      </c>
      <c r="Z33" s="41">
        <v>0</v>
      </c>
      <c r="AA33" s="41">
        <v>0</v>
      </c>
      <c r="AB33" s="41">
        <v>0</v>
      </c>
      <c r="AC33" s="41">
        <v>0</v>
      </c>
    </row>
    <row r="34" spans="1:29">
      <c r="A34" s="29">
        <v>2026</v>
      </c>
      <c r="B34" s="120">
        <v>0</v>
      </c>
      <c r="C34" s="69">
        <v>41.666666666666671</v>
      </c>
      <c r="D34" s="120">
        <v>0</v>
      </c>
      <c r="E34" s="120">
        <v>0</v>
      </c>
      <c r="F34" s="69">
        <v>54.9</v>
      </c>
      <c r="G34" s="69">
        <v>54.9</v>
      </c>
      <c r="H34" s="69">
        <v>75.2</v>
      </c>
      <c r="I34" s="69">
        <v>54.9</v>
      </c>
      <c r="J34" s="69">
        <v>54.9</v>
      </c>
      <c r="K34" s="69">
        <v>54.9</v>
      </c>
      <c r="L34" s="69">
        <v>75.2</v>
      </c>
      <c r="M34" s="69">
        <v>54.9</v>
      </c>
      <c r="N34" s="120">
        <v>0</v>
      </c>
      <c r="O34" s="120">
        <v>0</v>
      </c>
      <c r="P34" s="120">
        <v>0</v>
      </c>
      <c r="Q34" s="69">
        <v>31.995491803278689</v>
      </c>
      <c r="R34" s="120">
        <v>0</v>
      </c>
      <c r="S34" s="120">
        <v>0</v>
      </c>
      <c r="T34" s="120">
        <v>0</v>
      </c>
      <c r="U34" s="120">
        <v>0</v>
      </c>
      <c r="V34" s="124">
        <v>50</v>
      </c>
      <c r="W34" s="41">
        <v>0</v>
      </c>
      <c r="X34" s="41">
        <v>0</v>
      </c>
      <c r="Y34" s="41">
        <v>0</v>
      </c>
      <c r="Z34" s="41">
        <v>0</v>
      </c>
      <c r="AA34" s="41">
        <v>0</v>
      </c>
      <c r="AB34" s="41">
        <v>0</v>
      </c>
      <c r="AC34" s="41">
        <v>0</v>
      </c>
    </row>
    <row r="35" spans="1:29">
      <c r="A35" s="29">
        <v>2027</v>
      </c>
      <c r="B35" s="120">
        <v>0</v>
      </c>
      <c r="C35" s="69">
        <v>41.666666666666671</v>
      </c>
      <c r="D35" s="120">
        <v>0</v>
      </c>
      <c r="E35" s="120">
        <v>0</v>
      </c>
      <c r="F35" s="69">
        <v>54.9</v>
      </c>
      <c r="G35" s="69">
        <v>54.9</v>
      </c>
      <c r="H35" s="69">
        <v>75.2</v>
      </c>
      <c r="I35" s="69">
        <v>54.9</v>
      </c>
      <c r="J35" s="69">
        <v>54.9</v>
      </c>
      <c r="K35" s="69">
        <v>54.9</v>
      </c>
      <c r="L35" s="69">
        <v>75.2</v>
      </c>
      <c r="M35" s="69">
        <v>54.9</v>
      </c>
      <c r="N35" s="120">
        <v>0</v>
      </c>
      <c r="O35" s="120">
        <v>0</v>
      </c>
      <c r="P35" s="120">
        <v>0</v>
      </c>
      <c r="Q35" s="69">
        <v>31.995491803278689</v>
      </c>
      <c r="R35" s="120">
        <v>0</v>
      </c>
      <c r="S35" s="120">
        <v>0</v>
      </c>
      <c r="T35" s="120">
        <v>0</v>
      </c>
      <c r="U35" s="120">
        <v>0</v>
      </c>
      <c r="V35" s="124">
        <v>50</v>
      </c>
      <c r="W35" s="41">
        <v>0</v>
      </c>
      <c r="X35" s="41">
        <v>0</v>
      </c>
      <c r="Y35" s="41">
        <v>0</v>
      </c>
      <c r="Z35" s="41">
        <v>0</v>
      </c>
      <c r="AA35" s="41">
        <v>0</v>
      </c>
      <c r="AB35" s="41">
        <v>0</v>
      </c>
      <c r="AC35" s="41">
        <v>0</v>
      </c>
    </row>
    <row r="36" spans="1:29">
      <c r="A36" s="29">
        <v>2028</v>
      </c>
      <c r="B36" s="120">
        <v>0</v>
      </c>
      <c r="C36" s="69">
        <v>41.666666666666671</v>
      </c>
      <c r="D36" s="120">
        <v>0</v>
      </c>
      <c r="E36" s="120">
        <v>0</v>
      </c>
      <c r="F36" s="69">
        <v>54.9</v>
      </c>
      <c r="G36" s="69">
        <v>54.9</v>
      </c>
      <c r="H36" s="69">
        <v>75.2</v>
      </c>
      <c r="I36" s="69">
        <v>54.9</v>
      </c>
      <c r="J36" s="69">
        <v>54.9</v>
      </c>
      <c r="K36" s="69">
        <v>54.9</v>
      </c>
      <c r="L36" s="69">
        <v>75.2</v>
      </c>
      <c r="M36" s="69">
        <v>54.9</v>
      </c>
      <c r="N36" s="120">
        <v>0</v>
      </c>
      <c r="O36" s="120">
        <v>0</v>
      </c>
      <c r="P36" s="120">
        <v>0</v>
      </c>
      <c r="Q36" s="69">
        <v>31.995491803278689</v>
      </c>
      <c r="R36" s="120">
        <v>0</v>
      </c>
      <c r="S36" s="120">
        <v>0</v>
      </c>
      <c r="T36" s="120">
        <v>0</v>
      </c>
      <c r="U36" s="120">
        <v>0</v>
      </c>
      <c r="V36" s="124">
        <v>50</v>
      </c>
      <c r="W36" s="41">
        <v>0</v>
      </c>
      <c r="X36" s="41">
        <v>0</v>
      </c>
      <c r="Y36" s="41">
        <v>0</v>
      </c>
      <c r="Z36" s="41">
        <v>0</v>
      </c>
      <c r="AA36" s="41">
        <v>0</v>
      </c>
      <c r="AB36" s="41">
        <v>0</v>
      </c>
      <c r="AC36" s="41">
        <v>0</v>
      </c>
    </row>
    <row r="37" spans="1:29">
      <c r="A37" s="29">
        <v>2029</v>
      </c>
      <c r="B37" s="120">
        <v>0</v>
      </c>
      <c r="C37" s="69">
        <v>41.666666666666671</v>
      </c>
      <c r="D37" s="120">
        <v>0</v>
      </c>
      <c r="E37" s="120">
        <v>0</v>
      </c>
      <c r="F37" s="69">
        <v>54.9</v>
      </c>
      <c r="G37" s="69">
        <v>54.9</v>
      </c>
      <c r="H37" s="69">
        <v>75.2</v>
      </c>
      <c r="I37" s="69">
        <v>54.9</v>
      </c>
      <c r="J37" s="69">
        <v>54.9</v>
      </c>
      <c r="K37" s="69">
        <v>54.9</v>
      </c>
      <c r="L37" s="69">
        <v>75.2</v>
      </c>
      <c r="M37" s="69">
        <v>54.9</v>
      </c>
      <c r="N37" s="120">
        <v>0</v>
      </c>
      <c r="O37" s="120">
        <v>0</v>
      </c>
      <c r="P37" s="120">
        <v>0</v>
      </c>
      <c r="Q37" s="69">
        <v>31.995491803278689</v>
      </c>
      <c r="R37" s="120">
        <v>0</v>
      </c>
      <c r="S37" s="120">
        <v>0</v>
      </c>
      <c r="T37" s="120">
        <v>0</v>
      </c>
      <c r="U37" s="120">
        <v>0</v>
      </c>
      <c r="V37" s="124">
        <v>50</v>
      </c>
      <c r="W37" s="41">
        <v>0</v>
      </c>
      <c r="X37" s="41">
        <v>0</v>
      </c>
      <c r="Y37" s="41">
        <v>0</v>
      </c>
      <c r="Z37" s="41">
        <v>0</v>
      </c>
      <c r="AA37" s="41">
        <v>0</v>
      </c>
      <c r="AB37" s="41">
        <v>0</v>
      </c>
      <c r="AC37" s="41">
        <v>0</v>
      </c>
    </row>
    <row r="38" spans="1:29">
      <c r="A38" s="29">
        <v>2030</v>
      </c>
      <c r="B38" s="120">
        <v>0</v>
      </c>
      <c r="C38" s="69">
        <v>41.666666666666671</v>
      </c>
      <c r="D38" s="120">
        <v>0</v>
      </c>
      <c r="E38" s="120">
        <v>0</v>
      </c>
      <c r="F38" s="69">
        <v>54.9</v>
      </c>
      <c r="G38" s="69">
        <v>54.9</v>
      </c>
      <c r="H38" s="69">
        <v>75.2</v>
      </c>
      <c r="I38" s="69">
        <v>54.9</v>
      </c>
      <c r="J38" s="69">
        <v>54.9</v>
      </c>
      <c r="K38" s="69">
        <v>54.9</v>
      </c>
      <c r="L38" s="69">
        <v>75.2</v>
      </c>
      <c r="M38" s="69">
        <v>54.9</v>
      </c>
      <c r="N38" s="120">
        <v>0</v>
      </c>
      <c r="O38" s="120">
        <v>0</v>
      </c>
      <c r="P38" s="120">
        <v>0</v>
      </c>
      <c r="Q38" s="69">
        <v>31.995491803278689</v>
      </c>
      <c r="R38" s="120">
        <v>0</v>
      </c>
      <c r="S38" s="120">
        <v>0</v>
      </c>
      <c r="T38" s="120">
        <v>0</v>
      </c>
      <c r="U38" s="120">
        <v>0</v>
      </c>
      <c r="V38" s="124">
        <v>50</v>
      </c>
      <c r="W38" s="41">
        <v>0</v>
      </c>
      <c r="X38" s="41">
        <v>0</v>
      </c>
      <c r="Y38" s="41">
        <v>0</v>
      </c>
      <c r="Z38" s="41">
        <v>0</v>
      </c>
      <c r="AA38" s="41">
        <v>0</v>
      </c>
      <c r="AB38" s="41">
        <v>0</v>
      </c>
      <c r="AC38" s="41">
        <v>0</v>
      </c>
    </row>
    <row r="39" spans="1:29">
      <c r="A39" s="29">
        <v>2031</v>
      </c>
      <c r="B39" s="120">
        <v>0</v>
      </c>
      <c r="C39" s="69">
        <v>41.666666666666671</v>
      </c>
      <c r="D39" s="120">
        <v>0</v>
      </c>
      <c r="E39" s="120">
        <v>0</v>
      </c>
      <c r="F39" s="69">
        <v>54.9</v>
      </c>
      <c r="G39" s="69">
        <v>54.9</v>
      </c>
      <c r="H39" s="69">
        <v>75.2</v>
      </c>
      <c r="I39" s="69">
        <v>54.9</v>
      </c>
      <c r="J39" s="69">
        <v>54.9</v>
      </c>
      <c r="K39" s="69">
        <v>54.9</v>
      </c>
      <c r="L39" s="69">
        <v>75.2</v>
      </c>
      <c r="M39" s="69">
        <v>54.9</v>
      </c>
      <c r="N39" s="120">
        <v>0</v>
      </c>
      <c r="O39" s="120">
        <v>0</v>
      </c>
      <c r="P39" s="120">
        <v>0</v>
      </c>
      <c r="Q39" s="69">
        <v>31.995491803278689</v>
      </c>
      <c r="R39" s="120">
        <v>0</v>
      </c>
      <c r="S39" s="120">
        <v>0</v>
      </c>
      <c r="T39" s="120">
        <v>0</v>
      </c>
      <c r="U39" s="120">
        <v>0</v>
      </c>
      <c r="V39" s="124">
        <v>50</v>
      </c>
      <c r="W39" s="41">
        <v>0</v>
      </c>
      <c r="X39" s="41">
        <v>0</v>
      </c>
      <c r="Y39" s="41">
        <v>0</v>
      </c>
      <c r="Z39" s="41">
        <v>0</v>
      </c>
      <c r="AA39" s="41">
        <v>0</v>
      </c>
      <c r="AB39" s="41">
        <v>0</v>
      </c>
      <c r="AC39" s="41">
        <v>0</v>
      </c>
    </row>
    <row r="40" spans="1:29">
      <c r="A40" s="29">
        <v>2032</v>
      </c>
      <c r="B40" s="120">
        <v>0</v>
      </c>
      <c r="C40" s="69">
        <v>41.666666666666671</v>
      </c>
      <c r="D40" s="120">
        <v>0</v>
      </c>
      <c r="E40" s="120">
        <v>0</v>
      </c>
      <c r="F40" s="69">
        <v>54.9</v>
      </c>
      <c r="G40" s="69">
        <v>54.9</v>
      </c>
      <c r="H40" s="69">
        <v>75.2</v>
      </c>
      <c r="I40" s="69">
        <v>54.9</v>
      </c>
      <c r="J40" s="69">
        <v>54.9</v>
      </c>
      <c r="K40" s="69">
        <v>54.9</v>
      </c>
      <c r="L40" s="69">
        <v>75.2</v>
      </c>
      <c r="M40" s="69">
        <v>54.9</v>
      </c>
      <c r="N40" s="120">
        <v>0</v>
      </c>
      <c r="O40" s="120">
        <v>0</v>
      </c>
      <c r="P40" s="120">
        <v>0</v>
      </c>
      <c r="Q40" s="69">
        <v>31.995491803278689</v>
      </c>
      <c r="R40" s="120">
        <v>0</v>
      </c>
      <c r="S40" s="120">
        <v>0</v>
      </c>
      <c r="T40" s="120">
        <v>0</v>
      </c>
      <c r="U40" s="120">
        <v>0</v>
      </c>
      <c r="V40" s="124">
        <v>50</v>
      </c>
      <c r="W40" s="41">
        <v>0</v>
      </c>
      <c r="X40" s="41">
        <v>0</v>
      </c>
      <c r="Y40" s="41">
        <v>0</v>
      </c>
      <c r="Z40" s="41">
        <v>0</v>
      </c>
      <c r="AA40" s="41">
        <v>0</v>
      </c>
      <c r="AB40" s="41">
        <v>0</v>
      </c>
      <c r="AC40" s="41">
        <v>0</v>
      </c>
    </row>
    <row r="41" spans="1:29">
      <c r="A41" s="29">
        <v>2033</v>
      </c>
      <c r="B41" s="120">
        <v>0</v>
      </c>
      <c r="C41" s="69">
        <v>41.666666666666671</v>
      </c>
      <c r="D41" s="120">
        <v>0</v>
      </c>
      <c r="E41" s="120">
        <v>0</v>
      </c>
      <c r="F41" s="69">
        <v>54.9</v>
      </c>
      <c r="G41" s="69">
        <v>54.9</v>
      </c>
      <c r="H41" s="69">
        <v>75.2</v>
      </c>
      <c r="I41" s="69">
        <v>54.9</v>
      </c>
      <c r="J41" s="69">
        <v>54.9</v>
      </c>
      <c r="K41" s="69">
        <v>54.9</v>
      </c>
      <c r="L41" s="69">
        <v>75.2</v>
      </c>
      <c r="M41" s="69">
        <v>54.9</v>
      </c>
      <c r="N41" s="120">
        <v>0</v>
      </c>
      <c r="O41" s="120">
        <v>0</v>
      </c>
      <c r="P41" s="120">
        <v>0</v>
      </c>
      <c r="Q41" s="69">
        <v>31.995491803278689</v>
      </c>
      <c r="R41" s="120">
        <v>0</v>
      </c>
      <c r="S41" s="120">
        <v>0</v>
      </c>
      <c r="T41" s="120">
        <v>0</v>
      </c>
      <c r="U41" s="120">
        <v>0</v>
      </c>
      <c r="V41" s="124">
        <v>50</v>
      </c>
      <c r="W41" s="41">
        <v>0</v>
      </c>
      <c r="X41" s="41">
        <v>0</v>
      </c>
      <c r="Y41" s="41">
        <v>0</v>
      </c>
      <c r="Z41" s="41">
        <v>0</v>
      </c>
      <c r="AA41" s="41">
        <v>0</v>
      </c>
      <c r="AB41" s="41">
        <v>0</v>
      </c>
      <c r="AC41" s="41">
        <v>0</v>
      </c>
    </row>
    <row r="42" spans="1:29">
      <c r="A42" s="29">
        <v>2034</v>
      </c>
      <c r="B42" s="120">
        <v>0</v>
      </c>
      <c r="C42" s="69">
        <v>41.666666666666671</v>
      </c>
      <c r="D42" s="120">
        <v>0</v>
      </c>
      <c r="E42" s="120">
        <v>0</v>
      </c>
      <c r="F42" s="69">
        <v>54.9</v>
      </c>
      <c r="G42" s="69">
        <v>54.9</v>
      </c>
      <c r="H42" s="69">
        <v>75.2</v>
      </c>
      <c r="I42" s="69">
        <v>54.9</v>
      </c>
      <c r="J42" s="69">
        <v>54.9</v>
      </c>
      <c r="K42" s="69">
        <v>54.9</v>
      </c>
      <c r="L42" s="69">
        <v>75.2</v>
      </c>
      <c r="M42" s="69">
        <v>54.9</v>
      </c>
      <c r="N42" s="120">
        <v>0</v>
      </c>
      <c r="O42" s="120">
        <v>0</v>
      </c>
      <c r="P42" s="120">
        <v>0</v>
      </c>
      <c r="Q42" s="69">
        <v>31.995491803278689</v>
      </c>
      <c r="R42" s="120">
        <v>0</v>
      </c>
      <c r="S42" s="120">
        <v>0</v>
      </c>
      <c r="T42" s="120">
        <v>0</v>
      </c>
      <c r="U42" s="120">
        <v>0</v>
      </c>
      <c r="V42" s="124">
        <v>50</v>
      </c>
      <c r="W42" s="41">
        <v>0</v>
      </c>
      <c r="X42" s="41">
        <v>0</v>
      </c>
      <c r="Y42" s="41">
        <v>0</v>
      </c>
      <c r="Z42" s="41">
        <v>0</v>
      </c>
      <c r="AA42" s="41">
        <v>0</v>
      </c>
      <c r="AB42" s="41">
        <v>0</v>
      </c>
      <c r="AC42" s="41">
        <v>0</v>
      </c>
    </row>
    <row r="43" spans="1:29">
      <c r="A43" s="29">
        <v>2035</v>
      </c>
      <c r="B43" s="120">
        <v>0</v>
      </c>
      <c r="C43" s="69">
        <v>41.666666666666671</v>
      </c>
      <c r="D43" s="120">
        <v>0</v>
      </c>
      <c r="E43" s="120">
        <v>0</v>
      </c>
      <c r="F43" s="69">
        <v>54.9</v>
      </c>
      <c r="G43" s="69">
        <v>54.9</v>
      </c>
      <c r="H43" s="69">
        <v>75.2</v>
      </c>
      <c r="I43" s="69">
        <v>54.9</v>
      </c>
      <c r="J43" s="69">
        <v>54.9</v>
      </c>
      <c r="K43" s="69">
        <v>54.9</v>
      </c>
      <c r="L43" s="69">
        <v>75.2</v>
      </c>
      <c r="M43" s="69">
        <v>54.9</v>
      </c>
      <c r="N43" s="120">
        <v>0</v>
      </c>
      <c r="O43" s="120">
        <v>0</v>
      </c>
      <c r="P43" s="120">
        <v>0</v>
      </c>
      <c r="Q43" s="69">
        <v>31.995491803278689</v>
      </c>
      <c r="R43" s="120">
        <v>0</v>
      </c>
      <c r="S43" s="120">
        <v>0</v>
      </c>
      <c r="T43" s="120">
        <v>0</v>
      </c>
      <c r="U43" s="120">
        <v>0</v>
      </c>
      <c r="V43" s="124">
        <v>50</v>
      </c>
      <c r="W43" s="41">
        <v>0</v>
      </c>
      <c r="X43" s="41">
        <v>0</v>
      </c>
      <c r="Y43" s="41">
        <v>0</v>
      </c>
      <c r="Z43" s="41">
        <v>0</v>
      </c>
      <c r="AA43" s="41">
        <v>0</v>
      </c>
      <c r="AB43" s="41">
        <v>0</v>
      </c>
      <c r="AC43" s="41">
        <v>0</v>
      </c>
    </row>
    <row r="44" spans="1:29">
      <c r="A44" s="29">
        <v>2036</v>
      </c>
      <c r="B44" s="120">
        <v>0</v>
      </c>
      <c r="C44" s="69">
        <v>41.666666666666671</v>
      </c>
      <c r="D44" s="120">
        <v>0</v>
      </c>
      <c r="E44" s="120">
        <v>0</v>
      </c>
      <c r="F44" s="69">
        <v>54.9</v>
      </c>
      <c r="G44" s="69">
        <v>54.9</v>
      </c>
      <c r="H44" s="69">
        <v>75.2</v>
      </c>
      <c r="I44" s="69">
        <v>54.9</v>
      </c>
      <c r="J44" s="69">
        <v>54.9</v>
      </c>
      <c r="K44" s="69">
        <v>54.9</v>
      </c>
      <c r="L44" s="69">
        <v>75.2</v>
      </c>
      <c r="M44" s="69">
        <v>54.9</v>
      </c>
      <c r="N44" s="120">
        <v>0</v>
      </c>
      <c r="O44" s="120">
        <v>0</v>
      </c>
      <c r="P44" s="120">
        <v>0</v>
      </c>
      <c r="Q44" s="69">
        <v>31.995491803278689</v>
      </c>
      <c r="R44" s="120">
        <v>0</v>
      </c>
      <c r="S44" s="120">
        <v>0</v>
      </c>
      <c r="T44" s="120">
        <v>0</v>
      </c>
      <c r="U44" s="120">
        <v>0</v>
      </c>
      <c r="V44" s="124">
        <v>50</v>
      </c>
      <c r="W44" s="41">
        <v>0</v>
      </c>
      <c r="X44" s="41">
        <v>0</v>
      </c>
      <c r="Y44" s="41">
        <v>0</v>
      </c>
      <c r="Z44" s="41">
        <v>0</v>
      </c>
      <c r="AA44" s="41">
        <v>0</v>
      </c>
      <c r="AB44" s="41">
        <v>0</v>
      </c>
      <c r="AC44" s="41">
        <v>0</v>
      </c>
    </row>
    <row r="45" spans="1:29">
      <c r="A45" s="29">
        <v>2037</v>
      </c>
      <c r="B45" s="120">
        <v>0</v>
      </c>
      <c r="C45" s="69">
        <v>41.666666666666671</v>
      </c>
      <c r="D45" s="120">
        <v>0</v>
      </c>
      <c r="E45" s="120">
        <v>0</v>
      </c>
      <c r="F45" s="69">
        <v>54.9</v>
      </c>
      <c r="G45" s="69">
        <v>54.9</v>
      </c>
      <c r="H45" s="69">
        <v>75.2</v>
      </c>
      <c r="I45" s="69">
        <v>54.9</v>
      </c>
      <c r="J45" s="69">
        <v>54.9</v>
      </c>
      <c r="K45" s="69">
        <v>54.9</v>
      </c>
      <c r="L45" s="69">
        <v>75.2</v>
      </c>
      <c r="M45" s="69">
        <v>54.9</v>
      </c>
      <c r="N45" s="120">
        <v>0</v>
      </c>
      <c r="O45" s="120">
        <v>0</v>
      </c>
      <c r="P45" s="120">
        <v>0</v>
      </c>
      <c r="Q45" s="69">
        <v>31.995491803278689</v>
      </c>
      <c r="R45" s="120">
        <v>0</v>
      </c>
      <c r="S45" s="120">
        <v>0</v>
      </c>
      <c r="T45" s="120">
        <v>0</v>
      </c>
      <c r="U45" s="120">
        <v>0</v>
      </c>
      <c r="V45" s="124">
        <v>50</v>
      </c>
      <c r="W45" s="41">
        <v>0</v>
      </c>
      <c r="X45" s="41">
        <v>0</v>
      </c>
      <c r="Y45" s="41">
        <v>0</v>
      </c>
      <c r="Z45" s="41">
        <v>0</v>
      </c>
      <c r="AA45" s="41">
        <v>0</v>
      </c>
      <c r="AB45" s="41">
        <v>0</v>
      </c>
      <c r="AC45" s="41">
        <v>0</v>
      </c>
    </row>
    <row r="46" spans="1:29">
      <c r="A46" s="29">
        <v>2038</v>
      </c>
      <c r="B46" s="120">
        <v>0</v>
      </c>
      <c r="C46" s="69">
        <v>41.666666666666671</v>
      </c>
      <c r="D46" s="120">
        <v>0</v>
      </c>
      <c r="E46" s="120">
        <v>0</v>
      </c>
      <c r="F46" s="69">
        <v>54.9</v>
      </c>
      <c r="G46" s="69">
        <v>54.9</v>
      </c>
      <c r="H46" s="69">
        <v>75.2</v>
      </c>
      <c r="I46" s="69">
        <v>54.9</v>
      </c>
      <c r="J46" s="69">
        <v>54.9</v>
      </c>
      <c r="K46" s="69">
        <v>54.9</v>
      </c>
      <c r="L46" s="69">
        <v>75.2</v>
      </c>
      <c r="M46" s="69">
        <v>54.9</v>
      </c>
      <c r="N46" s="120">
        <v>0</v>
      </c>
      <c r="O46" s="120">
        <v>0</v>
      </c>
      <c r="P46" s="120">
        <v>0</v>
      </c>
      <c r="Q46" s="69">
        <v>31.995491803278689</v>
      </c>
      <c r="R46" s="120">
        <v>0</v>
      </c>
      <c r="S46" s="120">
        <v>0</v>
      </c>
      <c r="T46" s="120">
        <v>0</v>
      </c>
      <c r="U46" s="120">
        <v>0</v>
      </c>
      <c r="V46" s="124">
        <v>50</v>
      </c>
      <c r="W46" s="41">
        <v>0</v>
      </c>
      <c r="X46" s="41">
        <v>0</v>
      </c>
      <c r="Y46" s="41">
        <v>0</v>
      </c>
      <c r="Z46" s="41">
        <v>0</v>
      </c>
      <c r="AA46" s="41">
        <v>0</v>
      </c>
      <c r="AB46" s="41">
        <v>0</v>
      </c>
      <c r="AC46" s="41">
        <v>0</v>
      </c>
    </row>
    <row r="47" spans="1:29">
      <c r="A47" s="29">
        <v>2039</v>
      </c>
      <c r="B47" s="120">
        <v>0</v>
      </c>
      <c r="C47" s="69">
        <v>41.666666666666671</v>
      </c>
      <c r="D47" s="120">
        <v>0</v>
      </c>
      <c r="E47" s="120">
        <v>0</v>
      </c>
      <c r="F47" s="69">
        <v>54.9</v>
      </c>
      <c r="G47" s="69">
        <v>54.9</v>
      </c>
      <c r="H47" s="69">
        <v>75.2</v>
      </c>
      <c r="I47" s="69">
        <v>54.9</v>
      </c>
      <c r="J47" s="69">
        <v>54.9</v>
      </c>
      <c r="K47" s="69">
        <v>54.9</v>
      </c>
      <c r="L47" s="69">
        <v>75.2</v>
      </c>
      <c r="M47" s="69">
        <v>54.9</v>
      </c>
      <c r="N47" s="120">
        <v>0</v>
      </c>
      <c r="O47" s="120">
        <v>0</v>
      </c>
      <c r="P47" s="120">
        <v>0</v>
      </c>
      <c r="Q47" s="69">
        <v>31.995491803278689</v>
      </c>
      <c r="R47" s="120">
        <v>0</v>
      </c>
      <c r="S47" s="120">
        <v>0</v>
      </c>
      <c r="T47" s="120">
        <v>0</v>
      </c>
      <c r="U47" s="120">
        <v>0</v>
      </c>
      <c r="V47" s="124">
        <v>50</v>
      </c>
      <c r="W47" s="41">
        <v>0</v>
      </c>
      <c r="X47" s="41">
        <v>0</v>
      </c>
      <c r="Y47" s="41">
        <v>0</v>
      </c>
      <c r="Z47" s="41">
        <v>0</v>
      </c>
      <c r="AA47" s="41">
        <v>0</v>
      </c>
      <c r="AB47" s="41">
        <v>0</v>
      </c>
      <c r="AC47" s="41">
        <v>0</v>
      </c>
    </row>
    <row r="48" spans="1:29">
      <c r="A48" s="29">
        <v>2040</v>
      </c>
      <c r="B48" s="120">
        <v>0</v>
      </c>
      <c r="C48" s="69">
        <v>41.666666666666671</v>
      </c>
      <c r="D48" s="120">
        <v>0</v>
      </c>
      <c r="E48" s="120">
        <v>0</v>
      </c>
      <c r="F48" s="69">
        <v>54.9</v>
      </c>
      <c r="G48" s="69">
        <v>54.9</v>
      </c>
      <c r="H48" s="69">
        <v>75.2</v>
      </c>
      <c r="I48" s="69">
        <v>54.9</v>
      </c>
      <c r="J48" s="69">
        <v>54.9</v>
      </c>
      <c r="K48" s="69">
        <v>54.9</v>
      </c>
      <c r="L48" s="69">
        <v>75.2</v>
      </c>
      <c r="M48" s="69">
        <v>54.9</v>
      </c>
      <c r="N48" s="120">
        <v>0</v>
      </c>
      <c r="O48" s="120">
        <v>0</v>
      </c>
      <c r="P48" s="120">
        <v>0</v>
      </c>
      <c r="Q48" s="69">
        <v>31.995491803278689</v>
      </c>
      <c r="R48" s="120">
        <v>0</v>
      </c>
      <c r="S48" s="120">
        <v>0</v>
      </c>
      <c r="T48" s="120">
        <v>0</v>
      </c>
      <c r="U48" s="120">
        <v>0</v>
      </c>
      <c r="V48" s="124">
        <v>50</v>
      </c>
      <c r="W48" s="41">
        <v>0</v>
      </c>
      <c r="X48" s="41">
        <v>0</v>
      </c>
      <c r="Y48" s="41">
        <v>0</v>
      </c>
      <c r="Z48" s="41">
        <v>0</v>
      </c>
      <c r="AA48" s="41">
        <v>0</v>
      </c>
      <c r="AB48" s="41">
        <v>0</v>
      </c>
      <c r="AC48" s="41">
        <v>0</v>
      </c>
    </row>
    <row r="49" spans="1:29">
      <c r="A49" s="29">
        <v>2041</v>
      </c>
      <c r="B49" s="120">
        <v>0</v>
      </c>
      <c r="C49" s="69">
        <v>41.666666666666671</v>
      </c>
      <c r="D49" s="120">
        <v>0</v>
      </c>
      <c r="E49" s="120">
        <v>0</v>
      </c>
      <c r="F49" s="69">
        <v>54.9</v>
      </c>
      <c r="G49" s="69">
        <v>54.9</v>
      </c>
      <c r="H49" s="69">
        <v>75.2</v>
      </c>
      <c r="I49" s="69">
        <v>54.9</v>
      </c>
      <c r="J49" s="69">
        <v>54.9</v>
      </c>
      <c r="K49" s="69">
        <v>54.9</v>
      </c>
      <c r="L49" s="69">
        <v>75.2</v>
      </c>
      <c r="M49" s="69">
        <v>54.9</v>
      </c>
      <c r="N49" s="120">
        <v>0</v>
      </c>
      <c r="O49" s="120">
        <v>0</v>
      </c>
      <c r="P49" s="120">
        <v>0</v>
      </c>
      <c r="Q49" s="69">
        <v>31.995491803278689</v>
      </c>
      <c r="R49" s="120">
        <v>0</v>
      </c>
      <c r="S49" s="120">
        <v>0</v>
      </c>
      <c r="T49" s="120">
        <v>0</v>
      </c>
      <c r="U49" s="120">
        <v>0</v>
      </c>
      <c r="V49" s="124">
        <v>50</v>
      </c>
      <c r="W49" s="41">
        <v>0</v>
      </c>
      <c r="X49" s="41">
        <v>0</v>
      </c>
      <c r="Y49" s="41">
        <v>0</v>
      </c>
      <c r="Z49" s="41">
        <v>0</v>
      </c>
      <c r="AA49" s="41">
        <v>0</v>
      </c>
      <c r="AB49" s="41">
        <v>0</v>
      </c>
      <c r="AC49" s="41">
        <v>0</v>
      </c>
    </row>
    <row r="50" spans="1:29">
      <c r="A50" s="29">
        <v>2042</v>
      </c>
      <c r="B50" s="120">
        <v>0</v>
      </c>
      <c r="C50" s="69">
        <v>41.666666666666671</v>
      </c>
      <c r="D50" s="120">
        <v>0</v>
      </c>
      <c r="E50" s="120">
        <v>0</v>
      </c>
      <c r="F50" s="69">
        <v>54.9</v>
      </c>
      <c r="G50" s="69">
        <v>54.9</v>
      </c>
      <c r="H50" s="69">
        <v>75.2</v>
      </c>
      <c r="I50" s="69">
        <v>54.9</v>
      </c>
      <c r="J50" s="69">
        <v>54.9</v>
      </c>
      <c r="K50" s="69">
        <v>54.9</v>
      </c>
      <c r="L50" s="69">
        <v>75.2</v>
      </c>
      <c r="M50" s="69">
        <v>54.9</v>
      </c>
      <c r="N50" s="120">
        <v>0</v>
      </c>
      <c r="O50" s="120">
        <v>0</v>
      </c>
      <c r="P50" s="120">
        <v>0</v>
      </c>
      <c r="Q50" s="69">
        <v>31.995491803278689</v>
      </c>
      <c r="R50" s="120">
        <v>0</v>
      </c>
      <c r="S50" s="120">
        <v>0</v>
      </c>
      <c r="T50" s="120">
        <v>0</v>
      </c>
      <c r="U50" s="120">
        <v>0</v>
      </c>
      <c r="V50" s="124">
        <v>50</v>
      </c>
      <c r="W50" s="41">
        <v>0</v>
      </c>
      <c r="X50" s="41">
        <v>0</v>
      </c>
      <c r="Y50" s="41">
        <v>0</v>
      </c>
      <c r="Z50" s="41">
        <v>0</v>
      </c>
      <c r="AA50" s="41">
        <v>0</v>
      </c>
      <c r="AB50" s="41">
        <v>0</v>
      </c>
      <c r="AC50" s="41">
        <v>0</v>
      </c>
    </row>
    <row r="51" spans="1:29">
      <c r="A51" s="29">
        <v>2043</v>
      </c>
      <c r="B51" s="120">
        <v>0</v>
      </c>
      <c r="C51" s="69">
        <v>41.666666666666671</v>
      </c>
      <c r="D51" s="120">
        <v>0</v>
      </c>
      <c r="E51" s="120">
        <v>0</v>
      </c>
      <c r="F51" s="69">
        <v>54.9</v>
      </c>
      <c r="G51" s="69">
        <v>54.9</v>
      </c>
      <c r="H51" s="69">
        <v>75.2</v>
      </c>
      <c r="I51" s="69">
        <v>54.9</v>
      </c>
      <c r="J51" s="69">
        <v>54.9</v>
      </c>
      <c r="K51" s="69">
        <v>54.9</v>
      </c>
      <c r="L51" s="69">
        <v>75.2</v>
      </c>
      <c r="M51" s="69">
        <v>54.9</v>
      </c>
      <c r="N51" s="120">
        <v>0</v>
      </c>
      <c r="O51" s="120">
        <v>0</v>
      </c>
      <c r="P51" s="120">
        <v>0</v>
      </c>
      <c r="Q51" s="69">
        <v>31.995491803278689</v>
      </c>
      <c r="R51" s="120">
        <v>0</v>
      </c>
      <c r="S51" s="120">
        <v>0</v>
      </c>
      <c r="T51" s="120">
        <v>0</v>
      </c>
      <c r="U51" s="120">
        <v>0</v>
      </c>
      <c r="V51" s="124">
        <v>50</v>
      </c>
      <c r="W51" s="41">
        <v>0</v>
      </c>
      <c r="X51" s="41">
        <v>0</v>
      </c>
      <c r="Y51" s="41">
        <v>0</v>
      </c>
      <c r="Z51" s="41">
        <v>0</v>
      </c>
      <c r="AA51" s="41">
        <v>0</v>
      </c>
      <c r="AB51" s="41">
        <v>0</v>
      </c>
      <c r="AC51" s="41">
        <v>0</v>
      </c>
    </row>
    <row r="52" spans="1:29">
      <c r="A52" s="29">
        <v>2044</v>
      </c>
      <c r="B52" s="120">
        <v>0</v>
      </c>
      <c r="C52" s="69">
        <v>41.666666666666671</v>
      </c>
      <c r="D52" s="120">
        <v>0</v>
      </c>
      <c r="E52" s="120">
        <v>0</v>
      </c>
      <c r="F52" s="69">
        <v>54.9</v>
      </c>
      <c r="G52" s="69">
        <v>54.9</v>
      </c>
      <c r="H52" s="69">
        <v>75.2</v>
      </c>
      <c r="I52" s="69">
        <v>54.9</v>
      </c>
      <c r="J52" s="69">
        <v>54.9</v>
      </c>
      <c r="K52" s="69">
        <v>54.9</v>
      </c>
      <c r="L52" s="69">
        <v>75.2</v>
      </c>
      <c r="M52" s="69">
        <v>54.9</v>
      </c>
      <c r="N52" s="120">
        <v>0</v>
      </c>
      <c r="O52" s="120">
        <v>0</v>
      </c>
      <c r="P52" s="120">
        <v>0</v>
      </c>
      <c r="Q52" s="69">
        <v>31.995491803278689</v>
      </c>
      <c r="R52" s="120">
        <v>0</v>
      </c>
      <c r="S52" s="120">
        <v>0</v>
      </c>
      <c r="T52" s="120">
        <v>0</v>
      </c>
      <c r="U52" s="120">
        <v>0</v>
      </c>
      <c r="V52" s="124">
        <v>50</v>
      </c>
      <c r="W52" s="41">
        <v>0</v>
      </c>
      <c r="X52" s="41">
        <v>0</v>
      </c>
      <c r="Y52" s="41">
        <v>0</v>
      </c>
      <c r="Z52" s="41">
        <v>0</v>
      </c>
      <c r="AA52" s="41">
        <v>0</v>
      </c>
      <c r="AB52" s="41">
        <v>0</v>
      </c>
      <c r="AC52" s="41">
        <v>0</v>
      </c>
    </row>
    <row r="53" spans="1:29">
      <c r="A53" s="29">
        <v>2045</v>
      </c>
      <c r="B53" s="120">
        <v>0</v>
      </c>
      <c r="C53" s="69">
        <v>41.666666666666671</v>
      </c>
      <c r="D53" s="120">
        <v>0</v>
      </c>
      <c r="E53" s="120">
        <v>0</v>
      </c>
      <c r="F53" s="69">
        <v>54.9</v>
      </c>
      <c r="G53" s="69">
        <v>54.9</v>
      </c>
      <c r="H53" s="69">
        <v>75.2</v>
      </c>
      <c r="I53" s="69">
        <v>54.9</v>
      </c>
      <c r="J53" s="69">
        <v>54.9</v>
      </c>
      <c r="K53" s="69">
        <v>54.9</v>
      </c>
      <c r="L53" s="69">
        <v>75.2</v>
      </c>
      <c r="M53" s="69">
        <v>54.9</v>
      </c>
      <c r="N53" s="120">
        <v>0</v>
      </c>
      <c r="O53" s="120">
        <v>0</v>
      </c>
      <c r="P53" s="120">
        <v>0</v>
      </c>
      <c r="Q53" s="69">
        <v>31.995491803278689</v>
      </c>
      <c r="R53" s="120">
        <v>0</v>
      </c>
      <c r="S53" s="120">
        <v>0</v>
      </c>
      <c r="T53" s="120">
        <v>0</v>
      </c>
      <c r="U53" s="120">
        <v>0</v>
      </c>
      <c r="V53" s="124">
        <v>50</v>
      </c>
      <c r="W53" s="41">
        <v>0</v>
      </c>
      <c r="X53" s="41">
        <v>0</v>
      </c>
      <c r="Y53" s="41">
        <v>0</v>
      </c>
      <c r="Z53" s="41">
        <v>0</v>
      </c>
      <c r="AA53" s="41">
        <v>0</v>
      </c>
      <c r="AB53" s="41">
        <v>0</v>
      </c>
      <c r="AC53" s="41">
        <v>0</v>
      </c>
    </row>
    <row r="54" spans="1:29">
      <c r="A54" s="29">
        <v>2046</v>
      </c>
      <c r="B54" s="120">
        <v>0</v>
      </c>
      <c r="C54" s="69">
        <v>41.666666666666671</v>
      </c>
      <c r="D54" s="120">
        <v>0</v>
      </c>
      <c r="E54" s="120">
        <v>0</v>
      </c>
      <c r="F54" s="69">
        <v>54.9</v>
      </c>
      <c r="G54" s="69">
        <v>54.9</v>
      </c>
      <c r="H54" s="69">
        <v>75.2</v>
      </c>
      <c r="I54" s="69">
        <v>54.9</v>
      </c>
      <c r="J54" s="69">
        <v>54.9</v>
      </c>
      <c r="K54" s="69">
        <v>54.9</v>
      </c>
      <c r="L54" s="69">
        <v>75.2</v>
      </c>
      <c r="M54" s="69">
        <v>54.9</v>
      </c>
      <c r="N54" s="120">
        <v>0</v>
      </c>
      <c r="O54" s="120">
        <v>0</v>
      </c>
      <c r="P54" s="120">
        <v>0</v>
      </c>
      <c r="Q54" s="69">
        <v>31.995491803278689</v>
      </c>
      <c r="R54" s="120">
        <v>0</v>
      </c>
      <c r="S54" s="120">
        <v>0</v>
      </c>
      <c r="T54" s="120">
        <v>0</v>
      </c>
      <c r="U54" s="120">
        <v>0</v>
      </c>
      <c r="V54" s="124">
        <v>50</v>
      </c>
      <c r="W54" s="41">
        <v>0</v>
      </c>
      <c r="X54" s="41">
        <v>0</v>
      </c>
      <c r="Y54" s="41">
        <v>0</v>
      </c>
      <c r="Z54" s="41">
        <v>0</v>
      </c>
      <c r="AA54" s="41">
        <v>0</v>
      </c>
      <c r="AB54" s="41">
        <v>0</v>
      </c>
      <c r="AC54" s="41">
        <v>0</v>
      </c>
    </row>
    <row r="55" spans="1:29">
      <c r="A55" s="29">
        <v>2047</v>
      </c>
      <c r="B55" s="120">
        <v>0</v>
      </c>
      <c r="C55" s="69">
        <v>41.666666666666671</v>
      </c>
      <c r="D55" s="120">
        <v>0</v>
      </c>
      <c r="E55" s="120">
        <v>0</v>
      </c>
      <c r="F55" s="69">
        <v>54.9</v>
      </c>
      <c r="G55" s="69">
        <v>54.9</v>
      </c>
      <c r="H55" s="69">
        <v>75.2</v>
      </c>
      <c r="I55" s="69">
        <v>54.9</v>
      </c>
      <c r="J55" s="69">
        <v>54.9</v>
      </c>
      <c r="K55" s="69">
        <v>54.9</v>
      </c>
      <c r="L55" s="69">
        <v>75.2</v>
      </c>
      <c r="M55" s="69">
        <v>54.9</v>
      </c>
      <c r="N55" s="120">
        <v>0</v>
      </c>
      <c r="O55" s="120">
        <v>0</v>
      </c>
      <c r="P55" s="120">
        <v>0</v>
      </c>
      <c r="Q55" s="69">
        <v>31.995491803278689</v>
      </c>
      <c r="R55" s="120">
        <v>0</v>
      </c>
      <c r="S55" s="120">
        <v>0</v>
      </c>
      <c r="T55" s="120">
        <v>0</v>
      </c>
      <c r="U55" s="120">
        <v>0</v>
      </c>
      <c r="V55" s="124">
        <v>50</v>
      </c>
      <c r="W55" s="41">
        <v>0</v>
      </c>
      <c r="X55" s="41">
        <v>0</v>
      </c>
      <c r="Y55" s="41">
        <v>0</v>
      </c>
      <c r="Z55" s="41">
        <v>0</v>
      </c>
      <c r="AA55" s="41">
        <v>0</v>
      </c>
      <c r="AB55" s="41">
        <v>0</v>
      </c>
      <c r="AC55" s="41">
        <v>0</v>
      </c>
    </row>
    <row r="56" spans="1:29">
      <c r="A56" s="29">
        <v>2048</v>
      </c>
      <c r="B56" s="120">
        <v>0</v>
      </c>
      <c r="C56" s="69">
        <v>41.666666666666671</v>
      </c>
      <c r="D56" s="120">
        <v>0</v>
      </c>
      <c r="E56" s="120">
        <v>0</v>
      </c>
      <c r="F56" s="69">
        <v>54.9</v>
      </c>
      <c r="G56" s="69">
        <v>54.9</v>
      </c>
      <c r="H56" s="69">
        <v>75.2</v>
      </c>
      <c r="I56" s="69">
        <v>54.9</v>
      </c>
      <c r="J56" s="69">
        <v>54.9</v>
      </c>
      <c r="K56" s="69">
        <v>54.9</v>
      </c>
      <c r="L56" s="69">
        <v>75.2</v>
      </c>
      <c r="M56" s="69">
        <v>54.9</v>
      </c>
      <c r="N56" s="120">
        <v>0</v>
      </c>
      <c r="O56" s="120">
        <v>0</v>
      </c>
      <c r="P56" s="120">
        <v>0</v>
      </c>
      <c r="Q56" s="69">
        <v>31.995491803278689</v>
      </c>
      <c r="R56" s="120">
        <v>0</v>
      </c>
      <c r="S56" s="120">
        <v>0</v>
      </c>
      <c r="T56" s="120">
        <v>0</v>
      </c>
      <c r="U56" s="120">
        <v>0</v>
      </c>
      <c r="V56" s="124">
        <v>50</v>
      </c>
      <c r="W56" s="41">
        <v>0</v>
      </c>
      <c r="X56" s="41">
        <v>0</v>
      </c>
      <c r="Y56" s="41">
        <v>0</v>
      </c>
      <c r="Z56" s="41">
        <v>0</v>
      </c>
      <c r="AA56" s="41">
        <v>0</v>
      </c>
      <c r="AB56" s="41">
        <v>0</v>
      </c>
      <c r="AC56" s="41">
        <v>0</v>
      </c>
    </row>
    <row r="57" spans="1:29">
      <c r="A57" s="29">
        <v>2049</v>
      </c>
      <c r="B57" s="120">
        <v>0</v>
      </c>
      <c r="C57" s="69">
        <v>41.666666666666671</v>
      </c>
      <c r="D57" s="120">
        <v>0</v>
      </c>
      <c r="E57" s="120">
        <v>0</v>
      </c>
      <c r="F57" s="69">
        <v>54.9</v>
      </c>
      <c r="G57" s="69">
        <v>54.9</v>
      </c>
      <c r="H57" s="69">
        <v>75.2</v>
      </c>
      <c r="I57" s="69">
        <v>54.9</v>
      </c>
      <c r="J57" s="69">
        <v>54.9</v>
      </c>
      <c r="K57" s="69">
        <v>54.9</v>
      </c>
      <c r="L57" s="69">
        <v>75.2</v>
      </c>
      <c r="M57" s="69">
        <v>54.9</v>
      </c>
      <c r="N57" s="120">
        <v>0</v>
      </c>
      <c r="O57" s="120">
        <v>0</v>
      </c>
      <c r="P57" s="120">
        <v>0</v>
      </c>
      <c r="Q57" s="69">
        <v>31.995491803278689</v>
      </c>
      <c r="R57" s="120">
        <v>0</v>
      </c>
      <c r="S57" s="120">
        <v>0</v>
      </c>
      <c r="T57" s="120">
        <v>0</v>
      </c>
      <c r="U57" s="120">
        <v>0</v>
      </c>
      <c r="V57" s="124">
        <v>50</v>
      </c>
      <c r="W57" s="41">
        <v>0</v>
      </c>
      <c r="X57" s="41">
        <v>0</v>
      </c>
      <c r="Y57" s="41">
        <v>0</v>
      </c>
      <c r="Z57" s="41">
        <v>0</v>
      </c>
      <c r="AA57" s="41">
        <v>0</v>
      </c>
      <c r="AB57" s="41">
        <v>0</v>
      </c>
      <c r="AC57" s="41">
        <v>0</v>
      </c>
    </row>
    <row r="58" spans="1:29">
      <c r="A58" s="29">
        <v>2050</v>
      </c>
      <c r="B58" s="120">
        <v>0</v>
      </c>
      <c r="C58" s="69">
        <v>41.666666666666671</v>
      </c>
      <c r="D58" s="120">
        <v>0</v>
      </c>
      <c r="E58" s="120">
        <v>0</v>
      </c>
      <c r="F58" s="69">
        <v>54.9</v>
      </c>
      <c r="G58" s="69">
        <v>54.9</v>
      </c>
      <c r="H58" s="69">
        <v>75.2</v>
      </c>
      <c r="I58" s="69">
        <v>54.9</v>
      </c>
      <c r="J58" s="69">
        <v>54.9</v>
      </c>
      <c r="K58" s="69">
        <v>54.9</v>
      </c>
      <c r="L58" s="69">
        <v>75.2</v>
      </c>
      <c r="M58" s="69">
        <v>54.9</v>
      </c>
      <c r="N58" s="120">
        <v>0</v>
      </c>
      <c r="O58" s="120">
        <v>0</v>
      </c>
      <c r="P58" s="120">
        <v>0</v>
      </c>
      <c r="Q58" s="69">
        <v>31.995491803278689</v>
      </c>
      <c r="R58" s="120">
        <v>0</v>
      </c>
      <c r="S58" s="120">
        <v>0</v>
      </c>
      <c r="T58" s="120">
        <v>0</v>
      </c>
      <c r="U58" s="120">
        <v>0</v>
      </c>
      <c r="V58" s="124">
        <v>50</v>
      </c>
      <c r="W58" s="41">
        <v>0</v>
      </c>
      <c r="X58" s="41">
        <v>0</v>
      </c>
      <c r="Y58" s="41">
        <v>0</v>
      </c>
      <c r="Z58" s="41">
        <v>0</v>
      </c>
      <c r="AA58" s="41">
        <v>0</v>
      </c>
      <c r="AB58" s="41">
        <v>0</v>
      </c>
      <c r="AC58" s="41">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2:AA193"/>
  <sheetViews>
    <sheetView topLeftCell="A79" workbookViewId="0">
      <selection activeCell="D43" sqref="D43"/>
    </sheetView>
  </sheetViews>
  <sheetFormatPr defaultColWidth="8.88671875" defaultRowHeight="12.6"/>
  <cols>
    <col min="2" max="2" width="10.6640625" customWidth="1"/>
    <col min="6" max="6" width="83.44140625" customWidth="1"/>
    <col min="7" max="7" width="14.88671875" customWidth="1"/>
    <col min="8" max="8" width="10.109375" bestFit="1" customWidth="1"/>
    <col min="9" max="10" width="11.109375" customWidth="1"/>
    <col min="12" max="12" width="10.88671875" customWidth="1"/>
    <col min="13" max="13" width="11.33203125" customWidth="1"/>
    <col min="14" max="14" width="3.88671875" customWidth="1"/>
    <col min="15" max="15" width="11.6640625" customWidth="1"/>
    <col min="16" max="16" width="14.88671875" customWidth="1"/>
    <col min="17" max="24" width="19.44140625" customWidth="1"/>
    <col min="25" max="25" width="14.6640625" customWidth="1"/>
    <col min="26" max="28" width="19.44140625" customWidth="1"/>
  </cols>
  <sheetData>
    <row r="2" spans="1:26" ht="23.4">
      <c r="B2" s="25" t="s">
        <v>217</v>
      </c>
      <c r="O2" s="152"/>
      <c r="P2" s="152"/>
      <c r="Q2" s="152"/>
    </row>
    <row r="5" spans="1:26">
      <c r="B5" s="40" t="s">
        <v>218</v>
      </c>
      <c r="C5" s="40"/>
      <c r="D5" s="40"/>
      <c r="E5" s="40"/>
      <c r="F5" s="40"/>
      <c r="G5" s="40"/>
      <c r="H5" s="40"/>
      <c r="I5" s="40"/>
      <c r="J5" s="40"/>
      <c r="K5" s="40"/>
      <c r="L5" s="40"/>
      <c r="M5" s="40"/>
      <c r="N5" s="40"/>
      <c r="O5" s="40"/>
      <c r="P5" s="40"/>
      <c r="Q5" s="40"/>
      <c r="R5" s="40"/>
      <c r="S5" s="40"/>
      <c r="T5" s="40"/>
      <c r="U5" s="40"/>
      <c r="V5" s="40"/>
      <c r="W5" s="40"/>
      <c r="X5" s="40"/>
      <c r="Y5" s="40"/>
      <c r="Z5" s="40"/>
    </row>
    <row r="6" spans="1:26">
      <c r="B6" s="40"/>
      <c r="C6" s="40"/>
      <c r="D6" s="40"/>
      <c r="E6" s="40"/>
      <c r="F6" s="40"/>
      <c r="G6" s="40"/>
      <c r="H6" s="40"/>
      <c r="I6" s="40"/>
      <c r="J6" s="40"/>
      <c r="K6" s="40"/>
      <c r="L6" s="40"/>
      <c r="M6" s="40"/>
      <c r="N6" s="40"/>
      <c r="O6" s="40"/>
      <c r="P6" s="40"/>
      <c r="Q6" s="40"/>
      <c r="R6" s="40"/>
      <c r="S6" s="40"/>
      <c r="T6" s="40"/>
      <c r="U6" s="40"/>
      <c r="V6" s="40"/>
      <c r="W6" s="40"/>
      <c r="X6" s="40"/>
      <c r="Y6" s="40"/>
      <c r="Z6" s="40"/>
    </row>
    <row r="7" spans="1:26" ht="15.6">
      <c r="B7" s="150" t="s">
        <v>1</v>
      </c>
      <c r="C7" s="389" t="s">
        <v>261</v>
      </c>
      <c r="D7" s="389"/>
      <c r="E7" s="101" t="s">
        <v>263</v>
      </c>
      <c r="F7" s="101"/>
      <c r="G7" s="150" t="s">
        <v>262</v>
      </c>
      <c r="H7" s="389" t="s">
        <v>265</v>
      </c>
      <c r="I7" s="389"/>
      <c r="J7" s="389"/>
      <c r="K7" s="389"/>
      <c r="L7" s="40"/>
      <c r="M7" s="40"/>
      <c r="N7" s="40"/>
      <c r="O7" s="40"/>
      <c r="P7" s="40"/>
      <c r="Q7" s="40"/>
      <c r="R7" s="40"/>
      <c r="S7" s="40"/>
      <c r="T7" s="40"/>
      <c r="U7" s="40"/>
      <c r="V7" s="40"/>
      <c r="W7" s="40"/>
      <c r="X7" s="40"/>
      <c r="Y7" s="40"/>
      <c r="Z7" s="40"/>
    </row>
    <row r="8" spans="1:26">
      <c r="B8" s="66">
        <v>2010</v>
      </c>
      <c r="C8" s="69">
        <f>((25+1.8)/3)*2+((10+2.3)/3)*1</f>
        <v>21.966666666666669</v>
      </c>
      <c r="D8" s="40" t="s">
        <v>152</v>
      </c>
      <c r="E8" s="68">
        <f>C8/0.0036/100</f>
        <v>61.018518518518519</v>
      </c>
      <c r="F8" s="40" t="s">
        <v>282</v>
      </c>
      <c r="G8" s="40" t="s">
        <v>259</v>
      </c>
      <c r="H8" s="67" t="s">
        <v>267</v>
      </c>
      <c r="I8" s="67"/>
      <c r="J8" s="67"/>
      <c r="K8" s="67"/>
      <c r="L8" s="67"/>
      <c r="M8" s="67"/>
      <c r="N8" s="67"/>
      <c r="O8" s="67"/>
      <c r="P8" s="67"/>
      <c r="Q8" s="67"/>
      <c r="R8" s="40"/>
      <c r="S8" s="40" t="s">
        <v>266</v>
      </c>
      <c r="T8" s="40"/>
      <c r="U8" s="40"/>
      <c r="V8" s="40"/>
      <c r="W8" s="40"/>
      <c r="X8" s="40"/>
      <c r="Y8" s="40"/>
      <c r="Z8" s="40"/>
    </row>
    <row r="9" spans="1:26">
      <c r="A9" s="14">
        <v>31.2</v>
      </c>
      <c r="B9" s="66">
        <v>2015</v>
      </c>
      <c r="C9" s="69">
        <f>((1.8)+25)</f>
        <v>26.8</v>
      </c>
      <c r="D9" s="40" t="s">
        <v>152</v>
      </c>
      <c r="E9" s="68">
        <f t="shared" ref="E9:E34" si="0">C9/0.0036/100</f>
        <v>74.444444444444457</v>
      </c>
      <c r="F9" s="40" t="s">
        <v>282</v>
      </c>
      <c r="G9" s="40" t="s">
        <v>259</v>
      </c>
      <c r="H9" s="67" t="s">
        <v>298</v>
      </c>
      <c r="I9" s="67"/>
      <c r="J9" s="67"/>
      <c r="K9" s="67"/>
      <c r="L9" s="40"/>
      <c r="M9" s="40"/>
      <c r="N9" s="40"/>
      <c r="O9" s="40"/>
      <c r="P9" s="40"/>
      <c r="Q9" s="40"/>
      <c r="R9" s="40"/>
      <c r="S9" s="40"/>
      <c r="T9" s="40"/>
      <c r="U9" s="40"/>
      <c r="V9" s="40"/>
      <c r="W9" s="40"/>
      <c r="X9" s="40"/>
      <c r="Y9" s="40"/>
      <c r="Z9" s="40"/>
    </row>
    <row r="10" spans="1:26">
      <c r="A10" s="14">
        <v>33.9</v>
      </c>
      <c r="B10" s="66">
        <v>2020</v>
      </c>
      <c r="C10" s="69">
        <f>((1.8)+25)*0.9</f>
        <v>24.12</v>
      </c>
      <c r="D10" s="40" t="s">
        <v>152</v>
      </c>
      <c r="E10" s="68">
        <f t="shared" si="0"/>
        <v>67.000000000000014</v>
      </c>
      <c r="F10" s="40" t="s">
        <v>282</v>
      </c>
      <c r="G10" s="40" t="s">
        <v>259</v>
      </c>
      <c r="H10" s="67" t="s">
        <v>298</v>
      </c>
      <c r="I10" s="67"/>
      <c r="J10" s="67"/>
      <c r="K10" s="67"/>
      <c r="L10" s="40"/>
      <c r="M10" s="40"/>
      <c r="N10" s="40"/>
      <c r="O10" s="40"/>
      <c r="P10" s="40"/>
      <c r="Q10" s="40"/>
      <c r="R10" s="40"/>
      <c r="S10" s="40"/>
      <c r="T10" s="40"/>
      <c r="U10" s="40"/>
      <c r="V10" s="40"/>
      <c r="W10" s="40"/>
      <c r="X10" s="40"/>
      <c r="Y10" s="40"/>
      <c r="Z10" s="40"/>
    </row>
    <row r="11" spans="1:26">
      <c r="A11" s="14">
        <v>36.6</v>
      </c>
      <c r="B11" s="66">
        <v>2025</v>
      </c>
      <c r="C11" s="69">
        <f>((1.8)+25)*0.8</f>
        <v>21.44</v>
      </c>
      <c r="D11" s="40" t="s">
        <v>152</v>
      </c>
      <c r="E11" s="68">
        <f t="shared" si="0"/>
        <v>59.555555555555557</v>
      </c>
      <c r="F11" s="40" t="s">
        <v>282</v>
      </c>
      <c r="G11" s="40" t="s">
        <v>259</v>
      </c>
      <c r="H11" s="67" t="s">
        <v>298</v>
      </c>
      <c r="I11" s="67"/>
      <c r="J11" s="67"/>
      <c r="K11" s="67"/>
      <c r="L11" s="40"/>
      <c r="M11" s="40"/>
      <c r="N11" s="40"/>
      <c r="O11" s="40"/>
      <c r="P11" s="40"/>
      <c r="Q11" s="40"/>
      <c r="R11" s="40"/>
      <c r="S11" s="40"/>
      <c r="T11" s="40"/>
      <c r="U11" s="40"/>
      <c r="V11" s="40"/>
      <c r="W11" s="40"/>
      <c r="X11" s="40"/>
      <c r="Y11" s="40"/>
      <c r="Z11" s="40"/>
    </row>
    <row r="12" spans="1:26">
      <c r="A12" s="14">
        <v>39.200000000000003</v>
      </c>
      <c r="B12" s="66">
        <v>2030</v>
      </c>
      <c r="C12" s="69">
        <f>((1.8)+25)*0.7</f>
        <v>18.759999999999998</v>
      </c>
      <c r="D12" s="40" t="s">
        <v>152</v>
      </c>
      <c r="E12" s="68">
        <f t="shared" si="0"/>
        <v>52.111111111111107</v>
      </c>
      <c r="F12" s="40" t="s">
        <v>282</v>
      </c>
      <c r="G12" s="40" t="s">
        <v>259</v>
      </c>
      <c r="H12" s="67" t="s">
        <v>298</v>
      </c>
      <c r="I12" s="67"/>
      <c r="J12" s="67"/>
      <c r="K12" s="67"/>
      <c r="L12" s="40"/>
      <c r="M12" s="40"/>
      <c r="N12" s="40"/>
      <c r="O12" s="40"/>
      <c r="P12" s="40"/>
      <c r="Q12" s="40"/>
      <c r="R12" s="40"/>
      <c r="S12" s="40"/>
      <c r="T12" s="40"/>
      <c r="U12" s="40"/>
      <c r="V12" s="40"/>
      <c r="W12" s="40"/>
      <c r="X12" s="40"/>
      <c r="Y12" s="40"/>
      <c r="Z12" s="40"/>
    </row>
    <row r="13" spans="1:26">
      <c r="A13" s="14">
        <v>50</v>
      </c>
      <c r="B13" s="125">
        <v>2050</v>
      </c>
      <c r="C13" s="126">
        <f>((1.8)+25)*0.3</f>
        <v>8.0399999999999991</v>
      </c>
      <c r="D13" s="127" t="s">
        <v>152</v>
      </c>
      <c r="E13" s="128">
        <f t="shared" si="0"/>
        <v>22.333333333333329</v>
      </c>
      <c r="F13" s="93" t="s">
        <v>282</v>
      </c>
      <c r="G13" s="127" t="s">
        <v>259</v>
      </c>
      <c r="H13" s="129" t="s">
        <v>298</v>
      </c>
      <c r="I13" s="129"/>
      <c r="J13" s="129"/>
      <c r="K13" s="129"/>
      <c r="L13" s="127"/>
      <c r="M13" s="127"/>
      <c r="N13" s="127"/>
      <c r="O13" s="127"/>
      <c r="P13" s="127"/>
      <c r="Q13" s="127"/>
      <c r="R13" s="127"/>
      <c r="S13" s="127"/>
      <c r="T13" s="127"/>
      <c r="U13" s="127"/>
      <c r="V13" s="127"/>
      <c r="W13" s="127"/>
      <c r="X13" s="127"/>
      <c r="Y13" s="127"/>
      <c r="Z13" s="127"/>
    </row>
    <row r="14" spans="1:26">
      <c r="B14" s="66">
        <v>2010</v>
      </c>
      <c r="C14" s="69">
        <f>2*C8</f>
        <v>43.933333333333337</v>
      </c>
      <c r="D14" s="40" t="s">
        <v>152</v>
      </c>
      <c r="E14" s="68">
        <f t="shared" si="0"/>
        <v>122.03703703703704</v>
      </c>
      <c r="F14" s="130" t="s">
        <v>282</v>
      </c>
      <c r="G14" s="40" t="s">
        <v>220</v>
      </c>
      <c r="H14" s="67" t="s">
        <v>299</v>
      </c>
      <c r="I14" s="67"/>
      <c r="J14" s="67"/>
      <c r="K14" s="67"/>
      <c r="L14" s="40"/>
      <c r="M14" s="40"/>
      <c r="N14" s="40"/>
      <c r="O14" s="40"/>
      <c r="P14" s="40"/>
      <c r="Q14" s="40"/>
      <c r="R14" s="40"/>
      <c r="S14" s="40"/>
      <c r="T14" s="40"/>
      <c r="U14" s="40"/>
      <c r="V14" s="40"/>
      <c r="W14" s="40"/>
      <c r="X14" s="40"/>
      <c r="Y14" s="40"/>
      <c r="Z14" s="40"/>
    </row>
    <row r="15" spans="1:26">
      <c r="B15" s="66">
        <v>2012</v>
      </c>
      <c r="C15" s="153">
        <f>105.1-A9</f>
        <v>73.899999999999991</v>
      </c>
      <c r="D15" s="40" t="s">
        <v>152</v>
      </c>
      <c r="E15" s="68">
        <f>C15/0.0036/100</f>
        <v>205.27777777777777</v>
      </c>
      <c r="F15" s="93" t="s">
        <v>282</v>
      </c>
      <c r="G15" s="40" t="s">
        <v>300</v>
      </c>
      <c r="H15" s="67" t="s">
        <v>301</v>
      </c>
      <c r="I15" s="67"/>
      <c r="J15" s="67"/>
      <c r="K15" s="67"/>
      <c r="L15" s="40"/>
      <c r="M15" s="40"/>
      <c r="N15" s="40"/>
      <c r="O15" s="40"/>
      <c r="P15" s="40"/>
      <c r="Q15" s="40"/>
      <c r="R15" s="40"/>
      <c r="S15" s="40"/>
      <c r="T15" s="40"/>
      <c r="U15" s="40"/>
      <c r="V15" s="40"/>
      <c r="W15" s="40"/>
      <c r="X15" s="40"/>
      <c r="Y15" s="40"/>
      <c r="Z15" s="40"/>
    </row>
    <row r="16" spans="1:26">
      <c r="B16" s="66">
        <v>2015</v>
      </c>
      <c r="C16" s="69">
        <f>C9</f>
        <v>26.8</v>
      </c>
      <c r="D16" s="40" t="s">
        <v>152</v>
      </c>
      <c r="E16" s="68">
        <f>C16/0.0036/100</f>
        <v>74.444444444444457</v>
      </c>
      <c r="F16" s="93" t="s">
        <v>282</v>
      </c>
      <c r="G16" s="40" t="s">
        <v>302</v>
      </c>
      <c r="H16" s="67" t="s">
        <v>303</v>
      </c>
      <c r="I16" s="67"/>
      <c r="J16" s="67"/>
      <c r="K16" s="67"/>
      <c r="L16" s="40"/>
      <c r="M16" s="40"/>
      <c r="N16" s="40"/>
      <c r="O16" s="40"/>
      <c r="P16" s="40"/>
      <c r="Q16" s="40"/>
      <c r="R16" s="40"/>
      <c r="S16" s="40"/>
      <c r="T16" s="40"/>
      <c r="U16" s="40"/>
      <c r="V16" s="40"/>
      <c r="W16" s="40"/>
      <c r="X16" s="40"/>
      <c r="Y16" s="40"/>
      <c r="Z16" s="40"/>
    </row>
    <row r="17" spans="1:26">
      <c r="B17" s="66">
        <v>2020</v>
      </c>
      <c r="C17" s="154">
        <f>77-A10</f>
        <v>43.1</v>
      </c>
      <c r="D17" s="40" t="s">
        <v>152</v>
      </c>
      <c r="E17" s="68">
        <f t="shared" si="0"/>
        <v>119.72222222222223</v>
      </c>
      <c r="F17" s="93" t="s">
        <v>282</v>
      </c>
      <c r="G17" s="40" t="s">
        <v>304</v>
      </c>
      <c r="H17" s="67" t="s">
        <v>305</v>
      </c>
      <c r="I17" s="67"/>
      <c r="J17" s="67"/>
      <c r="K17" s="67"/>
      <c r="L17" s="40"/>
      <c r="M17" s="40"/>
      <c r="N17" s="40"/>
      <c r="O17" s="40"/>
      <c r="P17" s="40"/>
      <c r="Q17" s="40"/>
      <c r="R17" s="40"/>
      <c r="S17" s="40"/>
      <c r="T17" s="40"/>
      <c r="U17" s="40"/>
      <c r="V17" s="40"/>
      <c r="W17" s="40"/>
      <c r="X17" s="40"/>
      <c r="Y17" s="40"/>
      <c r="Z17" s="40"/>
    </row>
    <row r="18" spans="1:26">
      <c r="B18" s="66">
        <v>2020</v>
      </c>
      <c r="C18" s="154">
        <v>37.200000000000003</v>
      </c>
      <c r="D18" s="40" t="s">
        <v>152</v>
      </c>
      <c r="E18" s="68">
        <f t="shared" si="0"/>
        <v>103.33333333333334</v>
      </c>
      <c r="F18" s="93" t="s">
        <v>306</v>
      </c>
      <c r="G18" s="40" t="s">
        <v>307</v>
      </c>
      <c r="H18" s="67" t="s">
        <v>308</v>
      </c>
      <c r="I18" s="67"/>
      <c r="J18" s="67"/>
      <c r="K18" s="67"/>
      <c r="L18" s="40"/>
      <c r="M18" s="40"/>
      <c r="N18" s="40"/>
      <c r="O18" s="40"/>
      <c r="P18" s="40"/>
      <c r="Q18" s="40"/>
      <c r="R18" s="40"/>
      <c r="S18" s="40"/>
      <c r="T18" s="40"/>
      <c r="U18" s="40"/>
      <c r="V18" s="40"/>
      <c r="W18" s="40"/>
      <c r="X18" s="40"/>
      <c r="Y18" s="40"/>
      <c r="Z18" s="40"/>
    </row>
    <row r="19" spans="1:26">
      <c r="B19" s="66">
        <v>2020</v>
      </c>
      <c r="C19" s="69">
        <v>24.57</v>
      </c>
      <c r="D19" s="40" t="s">
        <v>152</v>
      </c>
      <c r="E19" s="68">
        <f t="shared" si="0"/>
        <v>68.25</v>
      </c>
      <c r="F19" s="93" t="s">
        <v>282</v>
      </c>
      <c r="G19" s="40" t="s">
        <v>302</v>
      </c>
      <c r="H19" s="67" t="s">
        <v>303</v>
      </c>
      <c r="I19" s="67"/>
      <c r="J19" s="67"/>
      <c r="K19" s="67"/>
      <c r="L19" s="40"/>
      <c r="M19" s="40"/>
      <c r="N19" s="40"/>
      <c r="O19" s="40"/>
      <c r="P19" s="40"/>
      <c r="Q19" s="40"/>
      <c r="R19" s="40"/>
      <c r="S19" s="40"/>
      <c r="T19" s="40"/>
      <c r="U19" s="40"/>
      <c r="V19" s="40"/>
      <c r="W19" s="40"/>
      <c r="X19" s="40"/>
      <c r="Y19" s="40"/>
      <c r="Z19" s="40"/>
    </row>
    <row r="20" spans="1:26">
      <c r="B20" s="66">
        <v>2025</v>
      </c>
      <c r="C20" s="69">
        <v>21.840000000000003</v>
      </c>
      <c r="D20" s="40" t="s">
        <v>152</v>
      </c>
      <c r="E20" s="68">
        <f t="shared" si="0"/>
        <v>60.666666666666679</v>
      </c>
      <c r="F20" s="93" t="s">
        <v>282</v>
      </c>
      <c r="G20" s="40" t="s">
        <v>220</v>
      </c>
      <c r="H20" s="67" t="s">
        <v>303</v>
      </c>
      <c r="I20" s="67"/>
      <c r="J20" s="67"/>
      <c r="K20" s="67"/>
      <c r="L20" s="40"/>
      <c r="M20" s="40"/>
      <c r="N20" s="40"/>
      <c r="O20" s="40"/>
      <c r="P20" s="40"/>
      <c r="Q20" s="40"/>
      <c r="R20" s="40"/>
      <c r="S20" s="40"/>
      <c r="T20" s="40"/>
      <c r="U20" s="40"/>
      <c r="V20" s="40"/>
      <c r="W20" s="40"/>
      <c r="X20" s="40"/>
      <c r="Y20" s="40"/>
      <c r="Z20" s="40"/>
    </row>
    <row r="21" spans="1:26">
      <c r="B21" s="66">
        <v>2030</v>
      </c>
      <c r="C21" s="69">
        <v>19.110000000000003</v>
      </c>
      <c r="D21" s="40" t="s">
        <v>152</v>
      </c>
      <c r="E21" s="68">
        <f t="shared" si="0"/>
        <v>53.083333333333343</v>
      </c>
      <c r="F21" s="93" t="s">
        <v>282</v>
      </c>
      <c r="G21" s="40" t="s">
        <v>220</v>
      </c>
      <c r="H21" s="67" t="s">
        <v>303</v>
      </c>
      <c r="I21" s="67"/>
      <c r="J21" s="67"/>
      <c r="K21" s="67"/>
      <c r="L21" s="40"/>
      <c r="M21" s="40"/>
      <c r="N21" s="40"/>
      <c r="O21" s="40"/>
      <c r="P21" s="40"/>
      <c r="Q21" s="40"/>
      <c r="R21" s="40"/>
      <c r="S21" s="40"/>
      <c r="T21" s="40"/>
      <c r="U21" s="40"/>
      <c r="V21" s="40"/>
      <c r="W21" s="40"/>
      <c r="X21" s="40"/>
      <c r="Y21" s="40"/>
      <c r="Z21" s="40"/>
    </row>
    <row r="22" spans="1:26">
      <c r="B22" s="125">
        <v>2050</v>
      </c>
      <c r="C22" s="126">
        <v>8.1900000000000013</v>
      </c>
      <c r="D22" s="127" t="s">
        <v>152</v>
      </c>
      <c r="E22" s="128">
        <f t="shared" si="0"/>
        <v>22.750000000000004</v>
      </c>
      <c r="F22" s="127" t="s">
        <v>282</v>
      </c>
      <c r="G22" s="127" t="s">
        <v>220</v>
      </c>
      <c r="H22" s="67" t="s">
        <v>303</v>
      </c>
      <c r="I22" s="129"/>
      <c r="J22" s="129"/>
      <c r="K22" s="129"/>
      <c r="L22" s="127"/>
      <c r="M22" s="127"/>
      <c r="N22" s="127"/>
      <c r="O22" s="127"/>
      <c r="P22" s="127"/>
      <c r="Q22" s="127"/>
      <c r="R22" s="127"/>
      <c r="S22" s="127"/>
      <c r="T22" s="127"/>
      <c r="U22" s="127"/>
      <c r="V22" s="127"/>
      <c r="W22" s="127"/>
      <c r="X22" s="127"/>
      <c r="Y22" s="127"/>
      <c r="Z22" s="127"/>
    </row>
    <row r="23" spans="1:26">
      <c r="A23" s="14"/>
      <c r="B23" s="131">
        <v>2010</v>
      </c>
      <c r="C23" s="132">
        <v>29.3</v>
      </c>
      <c r="D23" s="130" t="s">
        <v>152</v>
      </c>
      <c r="E23" s="133">
        <f t="shared" si="0"/>
        <v>81.3888888888889</v>
      </c>
      <c r="F23" s="93" t="s">
        <v>282</v>
      </c>
      <c r="G23" s="130" t="s">
        <v>283</v>
      </c>
      <c r="H23" s="134" t="s">
        <v>273</v>
      </c>
      <c r="I23" s="134"/>
      <c r="J23" s="134"/>
      <c r="K23" s="134"/>
      <c r="L23" s="130"/>
      <c r="M23" s="130"/>
      <c r="N23" s="130"/>
      <c r="O23" s="130"/>
      <c r="P23" s="130"/>
      <c r="Q23" s="130"/>
      <c r="R23" s="130"/>
      <c r="S23" s="130"/>
      <c r="T23" s="130"/>
      <c r="U23" s="130"/>
      <c r="V23" s="130"/>
      <c r="W23" s="130"/>
      <c r="X23" s="130"/>
      <c r="Y23" s="130"/>
      <c r="Z23" s="130"/>
    </row>
    <row r="24" spans="1:26">
      <c r="B24" s="135">
        <v>2015</v>
      </c>
      <c r="C24" s="136">
        <v>29.3</v>
      </c>
      <c r="D24" s="93" t="s">
        <v>152</v>
      </c>
      <c r="E24" s="137">
        <f t="shared" si="0"/>
        <v>81.3888888888889</v>
      </c>
      <c r="F24" s="93" t="s">
        <v>282</v>
      </c>
      <c r="G24" s="93" t="s">
        <v>283</v>
      </c>
      <c r="H24" s="138" t="s">
        <v>273</v>
      </c>
      <c r="I24" s="138"/>
      <c r="J24" s="138"/>
      <c r="K24" s="138"/>
      <c r="L24" s="93"/>
      <c r="M24" s="93"/>
      <c r="N24" s="93"/>
      <c r="O24" s="93"/>
      <c r="P24" s="93"/>
      <c r="Q24" s="93"/>
      <c r="R24" s="93"/>
      <c r="S24" s="93"/>
      <c r="T24" s="93"/>
      <c r="U24" s="93"/>
      <c r="V24" s="93"/>
      <c r="W24" s="93"/>
      <c r="X24" s="93"/>
      <c r="Y24" s="93"/>
      <c r="Z24" s="93"/>
    </row>
    <row r="25" spans="1:26">
      <c r="B25" s="135">
        <v>2020</v>
      </c>
      <c r="C25" s="136">
        <v>26.57</v>
      </c>
      <c r="D25" s="93" t="s">
        <v>152</v>
      </c>
      <c r="E25" s="137">
        <f t="shared" si="0"/>
        <v>73.805555555555557</v>
      </c>
      <c r="F25" s="93" t="s">
        <v>282</v>
      </c>
      <c r="G25" s="93" t="s">
        <v>283</v>
      </c>
      <c r="H25" s="138" t="s">
        <v>273</v>
      </c>
      <c r="I25" s="138"/>
      <c r="J25" s="138"/>
      <c r="K25" s="138"/>
      <c r="L25" s="93"/>
      <c r="M25" s="93"/>
      <c r="N25" s="93"/>
      <c r="O25" s="93"/>
      <c r="P25" s="93"/>
      <c r="Q25" s="93"/>
      <c r="R25" s="93"/>
      <c r="S25" s="93"/>
      <c r="T25" s="93"/>
      <c r="U25" s="93"/>
      <c r="V25" s="93"/>
      <c r="W25" s="93"/>
      <c r="X25" s="93"/>
      <c r="Y25" s="93"/>
      <c r="Z25" s="93"/>
    </row>
    <row r="26" spans="1:26">
      <c r="B26" s="135">
        <v>2025</v>
      </c>
      <c r="C26" s="136">
        <v>23.840000000000003</v>
      </c>
      <c r="D26" s="93" t="s">
        <v>152</v>
      </c>
      <c r="E26" s="137">
        <f t="shared" si="0"/>
        <v>66.222222222222229</v>
      </c>
      <c r="F26" s="93" t="s">
        <v>282</v>
      </c>
      <c r="G26" s="93" t="s">
        <v>283</v>
      </c>
      <c r="H26" s="138" t="s">
        <v>273</v>
      </c>
      <c r="I26" s="138"/>
      <c r="J26" s="138"/>
      <c r="K26" s="138"/>
      <c r="L26" s="93"/>
      <c r="M26" s="93"/>
      <c r="N26" s="93"/>
      <c r="O26" s="93"/>
      <c r="P26" s="93"/>
      <c r="Q26" s="93"/>
      <c r="R26" s="93"/>
      <c r="S26" s="93"/>
      <c r="T26" s="93"/>
      <c r="U26" s="93"/>
      <c r="V26" s="93"/>
      <c r="W26" s="93"/>
      <c r="X26" s="93"/>
      <c r="Y26" s="93"/>
      <c r="Z26" s="93"/>
    </row>
    <row r="27" spans="1:26">
      <c r="B27" s="135">
        <v>2030</v>
      </c>
      <c r="C27" s="136">
        <v>21.110000000000003</v>
      </c>
      <c r="D27" s="93" t="s">
        <v>152</v>
      </c>
      <c r="E27" s="137">
        <f t="shared" si="0"/>
        <v>58.638888888888893</v>
      </c>
      <c r="F27" s="93" t="s">
        <v>282</v>
      </c>
      <c r="G27" s="93" t="s">
        <v>283</v>
      </c>
      <c r="H27" s="138" t="s">
        <v>273</v>
      </c>
      <c r="I27" s="138"/>
      <c r="J27" s="138"/>
      <c r="K27" s="138"/>
      <c r="L27" s="93"/>
      <c r="M27" s="93"/>
      <c r="N27" s="93"/>
      <c r="O27" s="93"/>
      <c r="P27" s="93"/>
      <c r="Q27" s="93"/>
      <c r="R27" s="93"/>
      <c r="S27" s="93"/>
      <c r="T27" s="93"/>
      <c r="U27" s="93"/>
      <c r="V27" s="93"/>
      <c r="W27" s="93"/>
      <c r="X27" s="93"/>
      <c r="Y27" s="93"/>
      <c r="Z27" s="93"/>
    </row>
    <row r="28" spans="1:26">
      <c r="B28" s="125">
        <v>2050</v>
      </c>
      <c r="C28" s="126">
        <v>10.190000000000001</v>
      </c>
      <c r="D28" s="127" t="s">
        <v>152</v>
      </c>
      <c r="E28" s="128">
        <f t="shared" si="0"/>
        <v>28.305555555555561</v>
      </c>
      <c r="F28" s="127" t="s">
        <v>282</v>
      </c>
      <c r="G28" s="127" t="s">
        <v>283</v>
      </c>
      <c r="H28" s="129" t="s">
        <v>273</v>
      </c>
      <c r="I28" s="129"/>
      <c r="J28" s="129"/>
      <c r="K28" s="129"/>
      <c r="L28" s="127"/>
      <c r="M28" s="127"/>
      <c r="N28" s="127"/>
      <c r="O28" s="127"/>
      <c r="P28" s="127"/>
      <c r="Q28" s="127"/>
      <c r="R28" s="127"/>
      <c r="S28" s="127"/>
      <c r="T28" s="127"/>
      <c r="U28" s="127"/>
      <c r="V28" s="127"/>
      <c r="W28" s="127"/>
      <c r="X28" s="127"/>
      <c r="Y28" s="127"/>
      <c r="Z28" s="127"/>
    </row>
    <row r="29" spans="1:26">
      <c r="B29" s="66">
        <v>2010</v>
      </c>
      <c r="C29" s="69">
        <v>9.3000000000000007</v>
      </c>
      <c r="D29" s="130" t="s">
        <v>152</v>
      </c>
      <c r="E29" s="133">
        <f t="shared" si="0"/>
        <v>25.833333333333336</v>
      </c>
      <c r="F29" s="93" t="s">
        <v>282</v>
      </c>
      <c r="G29" s="40" t="s">
        <v>283</v>
      </c>
      <c r="H29" s="67" t="s">
        <v>284</v>
      </c>
      <c r="I29" s="67"/>
      <c r="J29" s="67"/>
      <c r="K29" s="67"/>
      <c r="L29" s="40"/>
      <c r="M29" s="40"/>
      <c r="N29" s="40"/>
      <c r="O29" s="40"/>
      <c r="P29" s="40"/>
      <c r="Q29" s="40"/>
      <c r="R29" s="40"/>
      <c r="S29" s="40"/>
      <c r="T29" s="40"/>
      <c r="U29" s="40"/>
      <c r="V29" s="40"/>
      <c r="W29" s="40"/>
      <c r="X29" s="40"/>
      <c r="Y29" s="40"/>
      <c r="Z29" s="40"/>
    </row>
    <row r="30" spans="1:26">
      <c r="B30" s="66">
        <v>2015</v>
      </c>
      <c r="C30" s="69">
        <v>9.3000000000000007</v>
      </c>
      <c r="D30" s="93" t="s">
        <v>152</v>
      </c>
      <c r="E30" s="137">
        <f t="shared" si="0"/>
        <v>25.833333333333336</v>
      </c>
      <c r="F30" s="93" t="s">
        <v>282</v>
      </c>
      <c r="G30" s="40" t="s">
        <v>283</v>
      </c>
      <c r="H30" s="67" t="s">
        <v>284</v>
      </c>
      <c r="I30" s="67"/>
      <c r="J30" s="67"/>
      <c r="K30" s="67"/>
      <c r="L30" s="40"/>
      <c r="M30" s="40"/>
      <c r="N30" s="40"/>
      <c r="O30" s="40"/>
      <c r="P30" s="40"/>
      <c r="Q30" s="40"/>
      <c r="R30" s="40"/>
      <c r="S30" s="40"/>
      <c r="T30" s="40"/>
      <c r="U30" s="40"/>
      <c r="V30" s="40"/>
      <c r="W30" s="40"/>
      <c r="X30" s="40"/>
      <c r="Y30" s="40"/>
      <c r="Z30" s="40"/>
    </row>
    <row r="31" spans="1:26">
      <c r="B31" s="66">
        <v>2020</v>
      </c>
      <c r="C31" s="69">
        <v>6.57</v>
      </c>
      <c r="D31" s="93" t="s">
        <v>152</v>
      </c>
      <c r="E31" s="137">
        <f t="shared" si="0"/>
        <v>18.250000000000004</v>
      </c>
      <c r="F31" s="93" t="s">
        <v>282</v>
      </c>
      <c r="G31" s="40" t="s">
        <v>283</v>
      </c>
      <c r="H31" s="67" t="s">
        <v>284</v>
      </c>
      <c r="I31" s="67"/>
      <c r="J31" s="67"/>
      <c r="K31" s="67"/>
      <c r="L31" s="40"/>
      <c r="M31" s="40"/>
      <c r="N31" s="40"/>
      <c r="O31" s="40"/>
      <c r="P31" s="40"/>
      <c r="Q31" s="40"/>
      <c r="R31" s="40"/>
      <c r="S31" s="40"/>
      <c r="T31" s="40"/>
      <c r="U31" s="40"/>
      <c r="V31" s="40"/>
      <c r="W31" s="40"/>
      <c r="X31" s="40"/>
      <c r="Y31" s="40"/>
      <c r="Z31" s="40"/>
    </row>
    <row r="32" spans="1:26">
      <c r="B32" s="66">
        <v>2025</v>
      </c>
      <c r="C32" s="69">
        <v>3.8400000000000034</v>
      </c>
      <c r="D32" s="93" t="s">
        <v>152</v>
      </c>
      <c r="E32" s="137">
        <f t="shared" si="0"/>
        <v>10.666666666666677</v>
      </c>
      <c r="F32" s="93" t="s">
        <v>282</v>
      </c>
      <c r="G32" s="40" t="s">
        <v>283</v>
      </c>
      <c r="H32" s="67" t="s">
        <v>284</v>
      </c>
      <c r="I32" s="67"/>
      <c r="J32" s="67"/>
      <c r="K32" s="67"/>
      <c r="L32" s="40"/>
      <c r="M32" s="40"/>
      <c r="N32" s="40"/>
      <c r="O32" s="40"/>
      <c r="P32" s="40"/>
      <c r="Q32" s="40"/>
      <c r="R32" s="40"/>
      <c r="S32" s="40"/>
      <c r="T32" s="40"/>
      <c r="U32" s="40"/>
      <c r="V32" s="40"/>
      <c r="W32" s="40"/>
      <c r="X32" s="40"/>
      <c r="Y32" s="40"/>
      <c r="Z32" s="40"/>
    </row>
    <row r="33" spans="2:26">
      <c r="B33" s="66">
        <v>2030</v>
      </c>
      <c r="C33" s="69">
        <v>1.110000000000003</v>
      </c>
      <c r="D33" s="93" t="s">
        <v>152</v>
      </c>
      <c r="E33" s="137">
        <f t="shared" si="0"/>
        <v>3.0833333333333415</v>
      </c>
      <c r="F33" s="93" t="s">
        <v>282</v>
      </c>
      <c r="G33" s="40" t="s">
        <v>283</v>
      </c>
      <c r="H33" s="67" t="s">
        <v>284</v>
      </c>
      <c r="I33" s="67"/>
      <c r="J33" s="67"/>
      <c r="K33" s="67"/>
      <c r="L33" s="40"/>
      <c r="M33" s="40"/>
      <c r="N33" s="40"/>
      <c r="O33" s="40"/>
      <c r="P33" s="40"/>
      <c r="Q33" s="40"/>
      <c r="R33" s="40"/>
      <c r="S33" s="40"/>
      <c r="T33" s="40"/>
      <c r="U33" s="40"/>
      <c r="V33" s="40"/>
      <c r="W33" s="40"/>
      <c r="X33" s="40"/>
      <c r="Y33" s="40"/>
      <c r="Z33" s="40"/>
    </row>
    <row r="34" spans="2:26">
      <c r="B34" s="66">
        <v>2050</v>
      </c>
      <c r="C34" s="69">
        <v>0</v>
      </c>
      <c r="D34" s="93" t="s">
        <v>152</v>
      </c>
      <c r="E34" s="137">
        <f t="shared" si="0"/>
        <v>0</v>
      </c>
      <c r="F34" s="93" t="s">
        <v>282</v>
      </c>
      <c r="G34" s="40" t="s">
        <v>283</v>
      </c>
      <c r="H34" s="67" t="s">
        <v>284</v>
      </c>
      <c r="I34" s="67"/>
      <c r="J34" s="67"/>
      <c r="K34" s="67"/>
      <c r="L34" s="40"/>
      <c r="M34" s="40"/>
      <c r="N34" s="40"/>
      <c r="O34" s="40"/>
      <c r="P34" s="40"/>
      <c r="Q34" s="40"/>
      <c r="R34" s="40"/>
      <c r="S34" s="40"/>
      <c r="T34" s="40"/>
      <c r="U34" s="40"/>
      <c r="V34" s="40"/>
      <c r="W34" s="40"/>
      <c r="X34" s="40"/>
      <c r="Y34" s="40"/>
      <c r="Z34" s="40"/>
    </row>
    <row r="35" spans="2:26">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2:26">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9" spans="2:26" ht="14.4">
      <c r="B39" s="155" t="s">
        <v>90</v>
      </c>
      <c r="C39" s="156"/>
      <c r="D39" s="156"/>
      <c r="E39" s="156"/>
      <c r="F39" s="156"/>
      <c r="G39" s="156"/>
      <c r="H39" s="156"/>
      <c r="K39" s="157"/>
      <c r="L39" s="157"/>
    </row>
    <row r="40" spans="2:26" ht="13.8" thickBot="1">
      <c r="B40" s="158" t="s">
        <v>4</v>
      </c>
      <c r="C40" s="158" t="s">
        <v>5</v>
      </c>
      <c r="D40" s="158" t="s">
        <v>1</v>
      </c>
      <c r="E40" s="63" t="s">
        <v>46</v>
      </c>
      <c r="F40" s="159" t="s">
        <v>7</v>
      </c>
      <c r="G40" s="159" t="s">
        <v>6</v>
      </c>
      <c r="H40" s="160" t="s">
        <v>43</v>
      </c>
      <c r="I40" s="161" t="s">
        <v>432</v>
      </c>
      <c r="J40" s="161" t="s">
        <v>433</v>
      </c>
      <c r="K40" s="64"/>
      <c r="L40" s="64" t="s">
        <v>14</v>
      </c>
      <c r="M40" t="s">
        <v>274</v>
      </c>
    </row>
    <row r="41" spans="2:26" ht="13.2">
      <c r="B41" s="65"/>
      <c r="C41" s="74" t="s">
        <v>48</v>
      </c>
      <c r="D41" s="75">
        <f>$B$184</f>
        <v>2010</v>
      </c>
      <c r="E41" s="75" t="s">
        <v>219</v>
      </c>
      <c r="F41" s="65" t="str">
        <f>C184</f>
        <v>ERWINWON1E</v>
      </c>
      <c r="G41" s="74" t="s">
        <v>53</v>
      </c>
      <c r="H41" s="76" t="s">
        <v>285</v>
      </c>
      <c r="I41" s="77">
        <f>E8</f>
        <v>61.018518518518519</v>
      </c>
      <c r="J41" s="77">
        <f>I41</f>
        <v>61.018518518518519</v>
      </c>
      <c r="K41" s="65"/>
      <c r="L41" s="65" t="s">
        <v>259</v>
      </c>
    </row>
    <row r="42" spans="2:26" ht="13.2">
      <c r="B42" s="65"/>
      <c r="C42" s="74" t="s">
        <v>48</v>
      </c>
      <c r="D42" s="75">
        <f>D41+7</f>
        <v>2017</v>
      </c>
      <c r="E42" s="75" t="s">
        <v>219</v>
      </c>
      <c r="F42" s="65" t="str">
        <f>F41</f>
        <v>ERWINWON1E</v>
      </c>
      <c r="G42" s="74" t="s">
        <v>53</v>
      </c>
      <c r="H42" s="76" t="s">
        <v>285</v>
      </c>
      <c r="I42" s="77">
        <v>61.9</v>
      </c>
      <c r="J42" s="77">
        <f t="shared" ref="J42:J105" si="1">I42</f>
        <v>61.9</v>
      </c>
      <c r="K42" s="65"/>
      <c r="L42" s="65" t="s">
        <v>259</v>
      </c>
      <c r="M42" t="s">
        <v>277</v>
      </c>
    </row>
    <row r="43" spans="2:26" ht="13.2">
      <c r="B43" s="162"/>
      <c r="C43" s="162" t="s">
        <v>48</v>
      </c>
      <c r="D43" s="163">
        <f>D42+1</f>
        <v>2018</v>
      </c>
      <c r="E43" s="163" t="s">
        <v>219</v>
      </c>
      <c r="F43" s="162" t="str">
        <f>F42</f>
        <v>ERWINWON1E</v>
      </c>
      <c r="G43" s="162" t="s">
        <v>53</v>
      </c>
      <c r="H43" s="164" t="s">
        <v>285</v>
      </c>
      <c r="I43" s="165">
        <v>0</v>
      </c>
      <c r="J43" s="77">
        <f t="shared" si="1"/>
        <v>0</v>
      </c>
      <c r="K43" s="162"/>
      <c r="L43" s="162" t="s">
        <v>259</v>
      </c>
    </row>
    <row r="44" spans="2:26" ht="13.2">
      <c r="B44" s="65"/>
      <c r="C44" s="74" t="s">
        <v>48</v>
      </c>
      <c r="D44" s="75">
        <v>2012</v>
      </c>
      <c r="E44" s="75" t="s">
        <v>219</v>
      </c>
      <c r="F44" s="65" t="str">
        <f>N185</f>
        <v>ERWINWON1N</v>
      </c>
      <c r="G44" s="74" t="s">
        <v>53</v>
      </c>
      <c r="H44" s="76" t="s">
        <v>285</v>
      </c>
      <c r="I44" s="77">
        <f>E9</f>
        <v>74.444444444444457</v>
      </c>
      <c r="J44" s="77">
        <f t="shared" si="1"/>
        <v>74.444444444444457</v>
      </c>
      <c r="K44" s="65"/>
      <c r="L44" s="74" t="s">
        <v>259</v>
      </c>
    </row>
    <row r="45" spans="2:26" ht="13.2">
      <c r="B45" s="65"/>
      <c r="C45" s="74" t="s">
        <v>48</v>
      </c>
      <c r="D45" s="75">
        <f>D44+7</f>
        <v>2019</v>
      </c>
      <c r="E45" s="75" t="s">
        <v>219</v>
      </c>
      <c r="F45" s="65" t="str">
        <f>F44</f>
        <v>ERWINWON1N</v>
      </c>
      <c r="G45" s="74" t="s">
        <v>53</v>
      </c>
      <c r="H45" s="76" t="s">
        <v>285</v>
      </c>
      <c r="I45" s="77">
        <f>E9</f>
        <v>74.444444444444457</v>
      </c>
      <c r="J45" s="77">
        <f t="shared" si="1"/>
        <v>74.444444444444457</v>
      </c>
      <c r="K45" s="65"/>
      <c r="L45" s="74" t="s">
        <v>259</v>
      </c>
      <c r="M45" t="s">
        <v>277</v>
      </c>
    </row>
    <row r="46" spans="2:26" ht="13.2">
      <c r="B46" s="162"/>
      <c r="C46" s="162" t="s">
        <v>48</v>
      </c>
      <c r="D46" s="163">
        <f>D45+1</f>
        <v>2020</v>
      </c>
      <c r="E46" s="163" t="s">
        <v>219</v>
      </c>
      <c r="F46" s="162" t="str">
        <f>F45</f>
        <v>ERWINWON1N</v>
      </c>
      <c r="G46" s="162" t="s">
        <v>53</v>
      </c>
      <c r="H46" s="164" t="s">
        <v>285</v>
      </c>
      <c r="I46" s="165">
        <v>0</v>
      </c>
      <c r="J46" s="77">
        <f t="shared" si="1"/>
        <v>0</v>
      </c>
      <c r="K46" s="162"/>
      <c r="L46" s="162" t="s">
        <v>259</v>
      </c>
    </row>
    <row r="47" spans="2:26" ht="13.2">
      <c r="B47" s="65"/>
      <c r="C47" s="74" t="s">
        <v>48</v>
      </c>
      <c r="D47" s="75">
        <v>2015</v>
      </c>
      <c r="E47" s="75" t="s">
        <v>219</v>
      </c>
      <c r="F47" s="65" t="str">
        <f>N186&amp;", "&amp;C186</f>
        <v>ERWINWON2N, ERWINELCWIN115N</v>
      </c>
      <c r="G47" s="74" t="s">
        <v>53</v>
      </c>
      <c r="H47" s="76" t="s">
        <v>285</v>
      </c>
      <c r="I47" s="77">
        <f>E9</f>
        <v>74.444444444444457</v>
      </c>
      <c r="J47" s="77">
        <f t="shared" si="1"/>
        <v>74.444444444444457</v>
      </c>
      <c r="K47" s="65"/>
      <c r="L47" s="74" t="s">
        <v>259</v>
      </c>
    </row>
    <row r="48" spans="2:26" ht="13.2">
      <c r="B48" s="65"/>
      <c r="C48" s="74" t="s">
        <v>48</v>
      </c>
      <c r="D48" s="75">
        <f>D47+7</f>
        <v>2022</v>
      </c>
      <c r="E48" s="75" t="s">
        <v>219</v>
      </c>
      <c r="F48" s="65" t="str">
        <f>F47</f>
        <v>ERWINWON2N, ERWINELCWIN115N</v>
      </c>
      <c r="G48" s="74" t="s">
        <v>53</v>
      </c>
      <c r="H48" s="76" t="s">
        <v>285</v>
      </c>
      <c r="I48" s="77">
        <f>E10</f>
        <v>67.000000000000014</v>
      </c>
      <c r="J48" s="77">
        <f t="shared" si="1"/>
        <v>67.000000000000014</v>
      </c>
      <c r="K48" s="65"/>
      <c r="L48" s="74" t="s">
        <v>259</v>
      </c>
      <c r="M48" t="s">
        <v>277</v>
      </c>
    </row>
    <row r="49" spans="2:13" ht="13.2">
      <c r="B49" s="162"/>
      <c r="C49" s="162" t="s">
        <v>48</v>
      </c>
      <c r="D49" s="163">
        <f>D48+1</f>
        <v>2023</v>
      </c>
      <c r="E49" s="163" t="s">
        <v>219</v>
      </c>
      <c r="F49" s="162" t="str">
        <f>F48</f>
        <v>ERWINWON2N, ERWINELCWIN115N</v>
      </c>
      <c r="G49" s="162" t="s">
        <v>53</v>
      </c>
      <c r="H49" s="164" t="s">
        <v>285</v>
      </c>
      <c r="I49" s="165">
        <v>0</v>
      </c>
      <c r="J49" s="77">
        <f t="shared" si="1"/>
        <v>0</v>
      </c>
      <c r="K49" s="162"/>
      <c r="L49" s="162" t="s">
        <v>259</v>
      </c>
    </row>
    <row r="50" spans="2:13" ht="13.2">
      <c r="B50" s="65"/>
      <c r="C50" s="74" t="s">
        <v>48</v>
      </c>
      <c r="D50" s="75">
        <f>$B$187</f>
        <v>2020</v>
      </c>
      <c r="E50" s="75" t="s">
        <v>219</v>
      </c>
      <c r="F50" s="65" t="str">
        <f>N187&amp;", "&amp;O187&amp;", "&amp;C187</f>
        <v>ERWINWON3N-DKE, ERWINWON3N-DKW, ERWINELCWIN120N</v>
      </c>
      <c r="G50" s="74" t="s">
        <v>53</v>
      </c>
      <c r="H50" s="76" t="s">
        <v>285</v>
      </c>
      <c r="I50" s="77">
        <v>0</v>
      </c>
      <c r="J50" s="77">
        <f t="shared" si="1"/>
        <v>0</v>
      </c>
      <c r="K50" s="65"/>
      <c r="L50" s="65" t="s">
        <v>259</v>
      </c>
    </row>
    <row r="51" spans="2:13" ht="13.2">
      <c r="B51" s="65"/>
      <c r="C51" s="74" t="s">
        <v>48</v>
      </c>
      <c r="D51" s="75">
        <f>D50+7</f>
        <v>2027</v>
      </c>
      <c r="E51" s="75" t="s">
        <v>219</v>
      </c>
      <c r="F51" s="65" t="str">
        <f>F50</f>
        <v>ERWINWON3N-DKE, ERWINWON3N-DKW, ERWINELCWIN120N</v>
      </c>
      <c r="G51" s="74" t="s">
        <v>53</v>
      </c>
      <c r="H51" s="76" t="s">
        <v>285</v>
      </c>
      <c r="I51" s="77">
        <v>0</v>
      </c>
      <c r="J51" s="77">
        <f t="shared" si="1"/>
        <v>0</v>
      </c>
      <c r="K51" s="65"/>
      <c r="L51" s="65" t="s">
        <v>259</v>
      </c>
      <c r="M51" t="s">
        <v>277</v>
      </c>
    </row>
    <row r="52" spans="2:13" ht="13.2">
      <c r="B52" s="162"/>
      <c r="C52" s="162" t="s">
        <v>48</v>
      </c>
      <c r="D52" s="163">
        <f>D51+1</f>
        <v>2028</v>
      </c>
      <c r="E52" s="163" t="s">
        <v>219</v>
      </c>
      <c r="F52" s="162" t="str">
        <f>F51</f>
        <v>ERWINWON3N-DKE, ERWINWON3N-DKW, ERWINELCWIN120N</v>
      </c>
      <c r="G52" s="162" t="s">
        <v>53</v>
      </c>
      <c r="H52" s="164" t="s">
        <v>285</v>
      </c>
      <c r="I52" s="165">
        <v>0</v>
      </c>
      <c r="J52" s="77">
        <f t="shared" si="1"/>
        <v>0</v>
      </c>
      <c r="K52" s="162"/>
      <c r="L52" s="162" t="s">
        <v>259</v>
      </c>
    </row>
    <row r="53" spans="2:13" ht="13.2">
      <c r="B53" s="166"/>
      <c r="C53" s="166" t="s">
        <v>48</v>
      </c>
      <c r="D53" s="167">
        <f>$B$188</f>
        <v>2025</v>
      </c>
      <c r="E53" s="167" t="s">
        <v>219</v>
      </c>
      <c r="F53" s="166" t="str">
        <f>N188&amp;", "&amp;O188&amp;", "&amp;C188</f>
        <v>ERWINWON4N-DKE, ERWINWON4N-DKW, ERWINELCWIN125N</v>
      </c>
      <c r="G53" s="166" t="s">
        <v>53</v>
      </c>
      <c r="H53" s="76" t="s">
        <v>285</v>
      </c>
      <c r="I53" s="168">
        <v>0</v>
      </c>
      <c r="J53" s="77">
        <f t="shared" si="1"/>
        <v>0</v>
      </c>
      <c r="K53" s="166"/>
      <c r="L53" s="166" t="s">
        <v>259</v>
      </c>
    </row>
    <row r="54" spans="2:13" ht="13.2">
      <c r="B54" s="74"/>
      <c r="C54" s="74" t="s">
        <v>48</v>
      </c>
      <c r="D54" s="75">
        <f>D53+7</f>
        <v>2032</v>
      </c>
      <c r="E54" s="75" t="s">
        <v>219</v>
      </c>
      <c r="F54" s="74" t="str">
        <f>F53</f>
        <v>ERWINWON4N-DKE, ERWINWON4N-DKW, ERWINELCWIN125N</v>
      </c>
      <c r="G54" s="74" t="s">
        <v>53</v>
      </c>
      <c r="H54" s="76" t="s">
        <v>285</v>
      </c>
      <c r="I54" s="77">
        <v>0</v>
      </c>
      <c r="J54" s="77">
        <f t="shared" si="1"/>
        <v>0</v>
      </c>
      <c r="K54" s="74"/>
      <c r="L54" s="74" t="s">
        <v>259</v>
      </c>
      <c r="M54" t="s">
        <v>277</v>
      </c>
    </row>
    <row r="55" spans="2:13" ht="13.2">
      <c r="B55" s="162"/>
      <c r="C55" s="162" t="s">
        <v>48</v>
      </c>
      <c r="D55" s="163">
        <f>D54+1</f>
        <v>2033</v>
      </c>
      <c r="E55" s="163" t="s">
        <v>219</v>
      </c>
      <c r="F55" s="162" t="str">
        <f>F54</f>
        <v>ERWINWON4N-DKE, ERWINWON4N-DKW, ERWINELCWIN125N</v>
      </c>
      <c r="G55" s="162" t="s">
        <v>53</v>
      </c>
      <c r="H55" s="164" t="s">
        <v>285</v>
      </c>
      <c r="I55" s="165">
        <v>0</v>
      </c>
      <c r="J55" s="77">
        <f t="shared" si="1"/>
        <v>0</v>
      </c>
      <c r="K55" s="162"/>
      <c r="L55" s="162" t="s">
        <v>259</v>
      </c>
    </row>
    <row r="56" spans="2:13" ht="13.2">
      <c r="B56" s="74"/>
      <c r="C56" s="74" t="s">
        <v>48</v>
      </c>
      <c r="D56" s="75">
        <v>2030</v>
      </c>
      <c r="E56" s="75" t="s">
        <v>219</v>
      </c>
      <c r="F56" s="74" t="str">
        <f>C189</f>
        <v>ERWINELCWIN130N</v>
      </c>
      <c r="G56" s="74" t="s">
        <v>53</v>
      </c>
      <c r="H56" s="76" t="s">
        <v>285</v>
      </c>
      <c r="I56" s="82">
        <v>0</v>
      </c>
      <c r="J56" s="77">
        <f t="shared" si="1"/>
        <v>0</v>
      </c>
      <c r="K56" s="65"/>
      <c r="L56" s="65" t="s">
        <v>259</v>
      </c>
    </row>
    <row r="57" spans="2:13" ht="13.2">
      <c r="B57" s="74"/>
      <c r="C57" s="74" t="s">
        <v>48</v>
      </c>
      <c r="D57" s="75">
        <f>D56+7</f>
        <v>2037</v>
      </c>
      <c r="E57" s="75" t="s">
        <v>219</v>
      </c>
      <c r="F57" s="74" t="str">
        <f>F56</f>
        <v>ERWINELCWIN130N</v>
      </c>
      <c r="G57" s="74" t="s">
        <v>53</v>
      </c>
      <c r="H57" s="76" t="s">
        <v>285</v>
      </c>
      <c r="I57" s="77">
        <v>0</v>
      </c>
      <c r="J57" s="77">
        <f t="shared" si="1"/>
        <v>0</v>
      </c>
      <c r="K57" s="74"/>
      <c r="L57" s="74" t="s">
        <v>259</v>
      </c>
      <c r="M57" t="s">
        <v>277</v>
      </c>
    </row>
    <row r="58" spans="2:13" ht="13.2">
      <c r="B58" s="162"/>
      <c r="C58" s="162" t="s">
        <v>48</v>
      </c>
      <c r="D58" s="163">
        <f>D57+1</f>
        <v>2038</v>
      </c>
      <c r="E58" s="163" t="s">
        <v>219</v>
      </c>
      <c r="F58" s="162" t="str">
        <f>F57</f>
        <v>ERWINELCWIN130N</v>
      </c>
      <c r="G58" s="162" t="s">
        <v>53</v>
      </c>
      <c r="H58" s="164" t="s">
        <v>285</v>
      </c>
      <c r="I58" s="165">
        <v>0</v>
      </c>
      <c r="J58" s="77">
        <f t="shared" si="1"/>
        <v>0</v>
      </c>
      <c r="K58" s="162"/>
      <c r="L58" s="162" t="s">
        <v>259</v>
      </c>
    </row>
    <row r="59" spans="2:13" ht="13.2">
      <c r="B59" s="74"/>
      <c r="C59" s="74" t="s">
        <v>48</v>
      </c>
      <c r="D59" s="75">
        <v>2035</v>
      </c>
      <c r="E59" s="75" t="s">
        <v>219</v>
      </c>
      <c r="F59" s="74" t="s">
        <v>309</v>
      </c>
      <c r="G59" s="74" t="s">
        <v>53</v>
      </c>
      <c r="H59" s="76" t="s">
        <v>285</v>
      </c>
      <c r="I59" s="77">
        <v>0</v>
      </c>
      <c r="J59" s="77">
        <f t="shared" si="1"/>
        <v>0</v>
      </c>
      <c r="K59" s="65"/>
      <c r="L59" s="65" t="s">
        <v>259</v>
      </c>
    </row>
    <row r="60" spans="2:13" ht="13.2">
      <c r="B60" s="74"/>
      <c r="C60" s="74" t="s">
        <v>48</v>
      </c>
      <c r="D60" s="75">
        <f>D59+7</f>
        <v>2042</v>
      </c>
      <c r="E60" s="75" t="s">
        <v>219</v>
      </c>
      <c r="F60" s="74" t="str">
        <f>F59</f>
        <v>ERWINELCWIN135N</v>
      </c>
      <c r="G60" s="74" t="s">
        <v>53</v>
      </c>
      <c r="H60" s="76" t="s">
        <v>285</v>
      </c>
      <c r="I60" s="77">
        <v>0</v>
      </c>
      <c r="J60" s="77">
        <f t="shared" si="1"/>
        <v>0</v>
      </c>
      <c r="K60" s="74"/>
      <c r="L60" s="74" t="s">
        <v>259</v>
      </c>
      <c r="M60" t="s">
        <v>277</v>
      </c>
    </row>
    <row r="61" spans="2:13" ht="13.2">
      <c r="B61" s="162"/>
      <c r="C61" s="162" t="s">
        <v>48</v>
      </c>
      <c r="D61" s="163">
        <f>D60+1</f>
        <v>2043</v>
      </c>
      <c r="E61" s="163" t="s">
        <v>219</v>
      </c>
      <c r="F61" s="162" t="str">
        <f>F60</f>
        <v>ERWINELCWIN135N</v>
      </c>
      <c r="G61" s="162" t="s">
        <v>53</v>
      </c>
      <c r="H61" s="164" t="s">
        <v>285</v>
      </c>
      <c r="I61" s="165">
        <v>0</v>
      </c>
      <c r="J61" s="77">
        <f t="shared" si="1"/>
        <v>0</v>
      </c>
      <c r="K61" s="162"/>
      <c r="L61" s="162" t="s">
        <v>259</v>
      </c>
    </row>
    <row r="62" spans="2:13" ht="13.2">
      <c r="B62" s="74"/>
      <c r="C62" s="74" t="s">
        <v>48</v>
      </c>
      <c r="D62" s="75">
        <v>2040</v>
      </c>
      <c r="E62" s="75" t="s">
        <v>219</v>
      </c>
      <c r="F62" s="74" t="s">
        <v>310</v>
      </c>
      <c r="G62" s="74" t="s">
        <v>53</v>
      </c>
      <c r="H62" s="76" t="s">
        <v>285</v>
      </c>
      <c r="I62" s="77">
        <v>0</v>
      </c>
      <c r="J62" s="77">
        <f t="shared" si="1"/>
        <v>0</v>
      </c>
      <c r="K62" s="65"/>
      <c r="L62" s="65" t="s">
        <v>259</v>
      </c>
    </row>
    <row r="63" spans="2:13" ht="13.2">
      <c r="B63" s="74"/>
      <c r="C63" s="74" t="s">
        <v>48</v>
      </c>
      <c r="D63" s="75">
        <f>D62+7</f>
        <v>2047</v>
      </c>
      <c r="E63" s="75" t="s">
        <v>219</v>
      </c>
      <c r="F63" s="74" t="str">
        <f>F62</f>
        <v>ERWINELCWIN140N</v>
      </c>
      <c r="G63" s="74" t="s">
        <v>53</v>
      </c>
      <c r="H63" s="76" t="s">
        <v>285</v>
      </c>
      <c r="I63" s="77">
        <v>0</v>
      </c>
      <c r="J63" s="77">
        <f t="shared" si="1"/>
        <v>0</v>
      </c>
      <c r="K63" s="74"/>
      <c r="L63" s="74" t="s">
        <v>259</v>
      </c>
      <c r="M63" t="s">
        <v>277</v>
      </c>
    </row>
    <row r="64" spans="2:13" ht="13.2">
      <c r="B64" s="162"/>
      <c r="C64" s="162" t="s">
        <v>48</v>
      </c>
      <c r="D64" s="163">
        <f>D63+1</f>
        <v>2048</v>
      </c>
      <c r="E64" s="163" t="s">
        <v>219</v>
      </c>
      <c r="F64" s="162" t="str">
        <f>F63</f>
        <v>ERWINELCWIN140N</v>
      </c>
      <c r="G64" s="162" t="s">
        <v>53</v>
      </c>
      <c r="H64" s="164" t="s">
        <v>285</v>
      </c>
      <c r="I64" s="165">
        <v>0</v>
      </c>
      <c r="J64" s="77">
        <f t="shared" si="1"/>
        <v>0</v>
      </c>
      <c r="K64" s="162"/>
      <c r="L64" s="162" t="s">
        <v>259</v>
      </c>
    </row>
    <row r="65" spans="2:13" ht="13.2">
      <c r="B65" s="74"/>
      <c r="C65" s="74" t="s">
        <v>48</v>
      </c>
      <c r="D65" s="75">
        <v>2045</v>
      </c>
      <c r="E65" s="75" t="s">
        <v>219</v>
      </c>
      <c r="F65" s="169" t="s">
        <v>311</v>
      </c>
      <c r="G65" s="74" t="s">
        <v>53</v>
      </c>
      <c r="H65" s="76" t="s">
        <v>285</v>
      </c>
      <c r="I65" s="77">
        <v>0</v>
      </c>
      <c r="J65" s="77">
        <f t="shared" si="1"/>
        <v>0</v>
      </c>
      <c r="K65" s="65"/>
      <c r="L65" s="65" t="s">
        <v>259</v>
      </c>
    </row>
    <row r="66" spans="2:13" ht="13.2">
      <c r="B66" s="74"/>
      <c r="C66" s="74" t="s">
        <v>48</v>
      </c>
      <c r="D66" s="75">
        <f>D65+7</f>
        <v>2052</v>
      </c>
      <c r="E66" s="75" t="s">
        <v>219</v>
      </c>
      <c r="F66" s="74" t="str">
        <f>F65</f>
        <v>ERWINELCWIN145N</v>
      </c>
      <c r="G66" s="74" t="s">
        <v>53</v>
      </c>
      <c r="H66" s="76" t="s">
        <v>285</v>
      </c>
      <c r="I66" s="82">
        <v>0</v>
      </c>
      <c r="J66" s="77">
        <f t="shared" si="1"/>
        <v>0</v>
      </c>
      <c r="K66" s="74"/>
      <c r="L66" s="74" t="s">
        <v>259</v>
      </c>
      <c r="M66" t="s">
        <v>277</v>
      </c>
    </row>
    <row r="67" spans="2:13" ht="13.2">
      <c r="B67" s="162"/>
      <c r="C67" s="162" t="s">
        <v>48</v>
      </c>
      <c r="D67" s="163">
        <f>D66+1</f>
        <v>2053</v>
      </c>
      <c r="E67" s="163" t="s">
        <v>219</v>
      </c>
      <c r="F67" s="162" t="str">
        <f>F66</f>
        <v>ERWINELCWIN145N</v>
      </c>
      <c r="G67" s="162" t="s">
        <v>53</v>
      </c>
      <c r="H67" s="164" t="s">
        <v>285</v>
      </c>
      <c r="I67" s="165">
        <v>0</v>
      </c>
      <c r="J67" s="77">
        <f t="shared" si="1"/>
        <v>0</v>
      </c>
      <c r="K67" s="162"/>
      <c r="L67" s="162" t="s">
        <v>259</v>
      </c>
    </row>
    <row r="68" spans="2:13" ht="13.8" thickBot="1">
      <c r="B68" s="111"/>
      <c r="C68" s="111" t="s">
        <v>48</v>
      </c>
      <c r="D68" s="112">
        <f>$B$193</f>
        <v>2050</v>
      </c>
      <c r="E68" s="112" t="s">
        <v>219</v>
      </c>
      <c r="F68" s="111" t="str">
        <f>C193</f>
        <v>ERWINELCWIN150N</v>
      </c>
      <c r="G68" s="111" t="s">
        <v>53</v>
      </c>
      <c r="H68" s="113" t="s">
        <v>285</v>
      </c>
      <c r="I68" s="114">
        <v>0</v>
      </c>
      <c r="J68" s="77">
        <f t="shared" si="1"/>
        <v>0</v>
      </c>
      <c r="K68" s="111"/>
      <c r="L68" s="111" t="s">
        <v>259</v>
      </c>
    </row>
    <row r="69" spans="2:13" ht="13.2">
      <c r="B69" s="40"/>
      <c r="C69" s="93" t="s">
        <v>48</v>
      </c>
      <c r="D69" s="94">
        <f>$B$184</f>
        <v>2010</v>
      </c>
      <c r="E69" s="94" t="s">
        <v>219</v>
      </c>
      <c r="F69" s="40" t="str">
        <f>D184</f>
        <v>ERWINWOF1E</v>
      </c>
      <c r="G69" s="93" t="s">
        <v>53</v>
      </c>
      <c r="H69" s="95" t="s">
        <v>285</v>
      </c>
      <c r="I69" s="96">
        <f>E14</f>
        <v>122.03703703703704</v>
      </c>
      <c r="J69" s="77">
        <f t="shared" si="1"/>
        <v>122.03703703703704</v>
      </c>
      <c r="K69" s="93"/>
      <c r="L69" s="93" t="s">
        <v>220</v>
      </c>
    </row>
    <row r="70" spans="2:13" ht="13.2">
      <c r="B70" s="93"/>
      <c r="C70" s="93" t="s">
        <v>48</v>
      </c>
      <c r="D70" s="94">
        <f>D69+9</f>
        <v>2019</v>
      </c>
      <c r="E70" s="94" t="s">
        <v>219</v>
      </c>
      <c r="F70" s="93" t="str">
        <f>F69</f>
        <v>ERWINWOF1E</v>
      </c>
      <c r="G70" s="93" t="s">
        <v>53</v>
      </c>
      <c r="H70" s="95" t="s">
        <v>285</v>
      </c>
      <c r="I70" s="96">
        <f>E16*2</f>
        <v>148.88888888888891</v>
      </c>
      <c r="J70" s="77">
        <f t="shared" si="1"/>
        <v>148.88888888888891</v>
      </c>
      <c r="K70" s="93"/>
      <c r="L70" s="93" t="s">
        <v>220</v>
      </c>
      <c r="M70" t="s">
        <v>277</v>
      </c>
    </row>
    <row r="71" spans="2:13" ht="13.2">
      <c r="B71" s="127"/>
      <c r="C71" s="127" t="s">
        <v>48</v>
      </c>
      <c r="D71" s="170">
        <f>D70+1</f>
        <v>2020</v>
      </c>
      <c r="E71" s="170" t="s">
        <v>219</v>
      </c>
      <c r="F71" s="127" t="str">
        <f>F70</f>
        <v>ERWINWOF1E</v>
      </c>
      <c r="G71" s="127" t="s">
        <v>53</v>
      </c>
      <c r="H71" s="171" t="s">
        <v>285</v>
      </c>
      <c r="I71" s="172">
        <v>0</v>
      </c>
      <c r="J71" s="77">
        <f t="shared" si="1"/>
        <v>0</v>
      </c>
      <c r="K71" s="127"/>
      <c r="L71" s="127" t="s">
        <v>220</v>
      </c>
    </row>
    <row r="72" spans="2:13" ht="13.2">
      <c r="B72" s="40"/>
      <c r="C72" s="93" t="s">
        <v>48</v>
      </c>
      <c r="D72" s="94">
        <v>2012</v>
      </c>
      <c r="E72" s="94" t="s">
        <v>219</v>
      </c>
      <c r="F72" s="40" t="str">
        <f>L185</f>
        <v>ERWINWOF1N</v>
      </c>
      <c r="G72" s="93" t="s">
        <v>53</v>
      </c>
      <c r="H72" s="95" t="s">
        <v>285</v>
      </c>
      <c r="I72" s="62">
        <f>E15</f>
        <v>205.27777777777777</v>
      </c>
      <c r="J72" s="77">
        <f t="shared" si="1"/>
        <v>205.27777777777777</v>
      </c>
      <c r="K72" s="40"/>
      <c r="L72" s="93" t="s">
        <v>220</v>
      </c>
    </row>
    <row r="73" spans="2:13" ht="13.2">
      <c r="B73" s="40"/>
      <c r="C73" s="93" t="s">
        <v>48</v>
      </c>
      <c r="D73" s="94">
        <f>D72+10</f>
        <v>2022</v>
      </c>
      <c r="E73" s="94" t="s">
        <v>219</v>
      </c>
      <c r="F73" s="40" t="str">
        <f>F72</f>
        <v>ERWINWOF1N</v>
      </c>
      <c r="G73" s="93" t="s">
        <v>53</v>
      </c>
      <c r="H73" s="95" t="s">
        <v>285</v>
      </c>
      <c r="I73" s="62">
        <v>191.5</v>
      </c>
      <c r="J73" s="77">
        <f t="shared" si="1"/>
        <v>191.5</v>
      </c>
      <c r="K73" s="40"/>
      <c r="L73" s="93" t="s">
        <v>220</v>
      </c>
      <c r="M73" t="s">
        <v>277</v>
      </c>
    </row>
    <row r="74" spans="2:13" ht="13.2">
      <c r="B74" s="127"/>
      <c r="C74" s="127" t="s">
        <v>48</v>
      </c>
      <c r="D74" s="170">
        <f>D73+1</f>
        <v>2023</v>
      </c>
      <c r="E74" s="170" t="s">
        <v>219</v>
      </c>
      <c r="F74" s="127" t="str">
        <f>F73</f>
        <v>ERWINWOF1N</v>
      </c>
      <c r="G74" s="127" t="s">
        <v>53</v>
      </c>
      <c r="H74" s="171" t="s">
        <v>285</v>
      </c>
      <c r="I74" s="172">
        <v>0</v>
      </c>
      <c r="J74" s="77">
        <f t="shared" si="1"/>
        <v>0</v>
      </c>
      <c r="K74" s="127"/>
      <c r="L74" s="127" t="s">
        <v>220</v>
      </c>
    </row>
    <row r="75" spans="2:13" ht="13.2">
      <c r="B75" s="40"/>
      <c r="C75" s="93" t="s">
        <v>48</v>
      </c>
      <c r="D75" s="94">
        <f>$B$186</f>
        <v>2015</v>
      </c>
      <c r="E75" s="94" t="s">
        <v>219</v>
      </c>
      <c r="F75" s="40" t="str">
        <f>D186</f>
        <v>ERWINELCWIN515N</v>
      </c>
      <c r="G75" s="93" t="s">
        <v>53</v>
      </c>
      <c r="H75" s="95" t="s">
        <v>285</v>
      </c>
      <c r="I75" s="62">
        <f>E16</f>
        <v>74.444444444444457</v>
      </c>
      <c r="J75" s="77">
        <f t="shared" si="1"/>
        <v>74.444444444444457</v>
      </c>
      <c r="K75" s="40"/>
      <c r="L75" s="93" t="s">
        <v>220</v>
      </c>
    </row>
    <row r="76" spans="2:13" ht="13.2">
      <c r="B76" s="40"/>
      <c r="C76" s="93" t="s">
        <v>48</v>
      </c>
      <c r="D76" s="94">
        <f>D75+5</f>
        <v>2020</v>
      </c>
      <c r="E76" s="94" t="s">
        <v>219</v>
      </c>
      <c r="F76" s="40" t="str">
        <f>F75</f>
        <v>ERWINELCWIN515N</v>
      </c>
      <c r="G76" s="93" t="s">
        <v>53</v>
      </c>
      <c r="H76" s="95" t="s">
        <v>285</v>
      </c>
      <c r="I76" s="62">
        <f>E10</f>
        <v>67.000000000000014</v>
      </c>
      <c r="J76" s="77">
        <f t="shared" si="1"/>
        <v>67.000000000000014</v>
      </c>
      <c r="K76" s="40"/>
      <c r="L76" s="93" t="s">
        <v>220</v>
      </c>
      <c r="M76" t="s">
        <v>277</v>
      </c>
    </row>
    <row r="77" spans="2:13" ht="13.2">
      <c r="B77" s="127"/>
      <c r="C77" s="127" t="s">
        <v>48</v>
      </c>
      <c r="D77" s="170">
        <f>D76+1</f>
        <v>2021</v>
      </c>
      <c r="E77" s="170" t="s">
        <v>219</v>
      </c>
      <c r="F77" s="127" t="str">
        <f>F76</f>
        <v>ERWINELCWIN515N</v>
      </c>
      <c r="G77" s="127" t="s">
        <v>53</v>
      </c>
      <c r="H77" s="171" t="s">
        <v>285</v>
      </c>
      <c r="I77" s="172">
        <v>0</v>
      </c>
      <c r="J77" s="77">
        <f t="shared" si="1"/>
        <v>0</v>
      </c>
      <c r="K77" s="127"/>
      <c r="L77" s="127" t="s">
        <v>220</v>
      </c>
    </row>
    <row r="78" spans="2:13" ht="13.2">
      <c r="B78" s="40"/>
      <c r="C78" s="93" t="s">
        <v>48</v>
      </c>
      <c r="D78" s="94">
        <f>$B$187</f>
        <v>2020</v>
      </c>
      <c r="E78" s="94" t="s">
        <v>219</v>
      </c>
      <c r="F78" s="93" t="str">
        <f>M187</f>
        <v>ERWINWOF3N-DKW</v>
      </c>
      <c r="G78" s="93" t="s">
        <v>53</v>
      </c>
      <c r="H78" s="95" t="s">
        <v>285</v>
      </c>
      <c r="I78" s="62">
        <f>E17</f>
        <v>119.72222222222223</v>
      </c>
      <c r="J78" s="77">
        <f t="shared" si="1"/>
        <v>119.72222222222223</v>
      </c>
      <c r="K78" s="40"/>
      <c r="L78" s="93" t="s">
        <v>220</v>
      </c>
    </row>
    <row r="79" spans="2:13" ht="13.2">
      <c r="B79" s="40"/>
      <c r="C79" s="93" t="s">
        <v>48</v>
      </c>
      <c r="D79" s="94">
        <f>D78+10</f>
        <v>2030</v>
      </c>
      <c r="E79" s="94" t="s">
        <v>219</v>
      </c>
      <c r="F79" s="40" t="str">
        <f>F78</f>
        <v>ERWINWOF3N-DKW</v>
      </c>
      <c r="G79" s="93" t="s">
        <v>53</v>
      </c>
      <c r="H79" s="95" t="s">
        <v>285</v>
      </c>
      <c r="I79" s="62">
        <f>(C17-(A12-A10))/0.0036/100</f>
        <v>105</v>
      </c>
      <c r="J79" s="77">
        <f t="shared" si="1"/>
        <v>105</v>
      </c>
      <c r="K79" s="40"/>
      <c r="L79" s="93" t="s">
        <v>220</v>
      </c>
      <c r="M79" t="s">
        <v>277</v>
      </c>
    </row>
    <row r="80" spans="2:13" ht="13.2">
      <c r="B80" s="127"/>
      <c r="C80" s="127" t="s">
        <v>48</v>
      </c>
      <c r="D80" s="170">
        <f>D79+1</f>
        <v>2031</v>
      </c>
      <c r="E80" s="170" t="s">
        <v>219</v>
      </c>
      <c r="F80" s="127" t="str">
        <f>F79</f>
        <v>ERWINWOF3N-DKW</v>
      </c>
      <c r="G80" s="127" t="s">
        <v>53</v>
      </c>
      <c r="H80" s="171" t="s">
        <v>285</v>
      </c>
      <c r="I80" s="127">
        <v>0</v>
      </c>
      <c r="J80" s="77">
        <f t="shared" si="1"/>
        <v>0</v>
      </c>
      <c r="K80" s="127"/>
      <c r="L80" s="127" t="s">
        <v>220</v>
      </c>
    </row>
    <row r="81" spans="2:13" ht="13.2">
      <c r="B81" s="40"/>
      <c r="C81" s="93" t="s">
        <v>48</v>
      </c>
      <c r="D81" s="94">
        <f>$B$187</f>
        <v>2020</v>
      </c>
      <c r="E81" s="94" t="s">
        <v>219</v>
      </c>
      <c r="F81" s="93" t="str">
        <f>L187</f>
        <v>ERWINWOF3N-DKE</v>
      </c>
      <c r="G81" s="93" t="s">
        <v>53</v>
      </c>
      <c r="H81" s="95" t="s">
        <v>297</v>
      </c>
      <c r="I81" s="62">
        <f>E18</f>
        <v>103.33333333333334</v>
      </c>
      <c r="J81" s="77">
        <f t="shared" si="1"/>
        <v>103.33333333333334</v>
      </c>
      <c r="K81" s="40"/>
      <c r="L81" s="93" t="s">
        <v>220</v>
      </c>
    </row>
    <row r="82" spans="2:13" ht="13.2">
      <c r="B82" s="40"/>
      <c r="C82" s="93" t="s">
        <v>48</v>
      </c>
      <c r="D82" s="94">
        <f>D81+10</f>
        <v>2030</v>
      </c>
      <c r="E82" s="94" t="s">
        <v>219</v>
      </c>
      <c r="F82" s="40" t="str">
        <f>F81</f>
        <v>ERWINWOF3N-DKE</v>
      </c>
      <c r="G82" s="93" t="s">
        <v>53</v>
      </c>
      <c r="H82" s="95" t="s">
        <v>297</v>
      </c>
      <c r="I82" s="62">
        <f>(C18-(A12-A10))/0.0036/100</f>
        <v>88.611111111111114</v>
      </c>
      <c r="J82" s="77">
        <f t="shared" si="1"/>
        <v>88.611111111111114</v>
      </c>
      <c r="K82" s="40"/>
      <c r="L82" s="93" t="s">
        <v>220</v>
      </c>
      <c r="M82" t="s">
        <v>277</v>
      </c>
    </row>
    <row r="83" spans="2:13" ht="13.2">
      <c r="B83" s="127"/>
      <c r="C83" s="127" t="s">
        <v>48</v>
      </c>
      <c r="D83" s="170">
        <f>D82+1</f>
        <v>2031</v>
      </c>
      <c r="E83" s="170" t="s">
        <v>219</v>
      </c>
      <c r="F83" s="127" t="str">
        <f>F82</f>
        <v>ERWINWOF3N-DKE</v>
      </c>
      <c r="G83" s="127" t="s">
        <v>53</v>
      </c>
      <c r="H83" s="171" t="s">
        <v>297</v>
      </c>
      <c r="I83" s="127">
        <v>0</v>
      </c>
      <c r="J83" s="77">
        <f t="shared" si="1"/>
        <v>0</v>
      </c>
      <c r="K83" s="127"/>
      <c r="L83" s="127" t="s">
        <v>220</v>
      </c>
    </row>
    <row r="84" spans="2:13" ht="13.2">
      <c r="B84" s="40"/>
      <c r="C84" s="93" t="s">
        <v>48</v>
      </c>
      <c r="D84" s="94">
        <f>$B$187</f>
        <v>2020</v>
      </c>
      <c r="E84" s="94" t="s">
        <v>219</v>
      </c>
      <c r="F84" s="93" t="str">
        <f>D187</f>
        <v>ERWINELCWIN520N</v>
      </c>
      <c r="G84" s="93" t="s">
        <v>53</v>
      </c>
      <c r="H84" s="95" t="s">
        <v>285</v>
      </c>
      <c r="I84" s="62">
        <v>0</v>
      </c>
      <c r="J84" s="77">
        <f t="shared" si="1"/>
        <v>0</v>
      </c>
      <c r="K84" s="40"/>
      <c r="L84" s="93" t="s">
        <v>220</v>
      </c>
    </row>
    <row r="85" spans="2:13" ht="13.2">
      <c r="B85" s="40"/>
      <c r="C85" s="93" t="s">
        <v>48</v>
      </c>
      <c r="D85" s="94">
        <f>D84+5</f>
        <v>2025</v>
      </c>
      <c r="E85" s="94" t="s">
        <v>219</v>
      </c>
      <c r="F85" s="40" t="str">
        <f>F84</f>
        <v>ERWINELCWIN520N</v>
      </c>
      <c r="G85" s="93" t="s">
        <v>53</v>
      </c>
      <c r="H85" s="95" t="s">
        <v>285</v>
      </c>
      <c r="I85" s="62">
        <v>0</v>
      </c>
      <c r="J85" s="77">
        <f t="shared" si="1"/>
        <v>0</v>
      </c>
      <c r="K85" s="40"/>
      <c r="L85" s="93" t="s">
        <v>220</v>
      </c>
      <c r="M85" t="s">
        <v>277</v>
      </c>
    </row>
    <row r="86" spans="2:13" ht="13.2">
      <c r="B86" s="127"/>
      <c r="C86" s="127" t="s">
        <v>48</v>
      </c>
      <c r="D86" s="170">
        <f>D85+1</f>
        <v>2026</v>
      </c>
      <c r="E86" s="170" t="s">
        <v>219</v>
      </c>
      <c r="F86" s="127" t="str">
        <f>F85</f>
        <v>ERWINELCWIN520N</v>
      </c>
      <c r="G86" s="127" t="s">
        <v>53</v>
      </c>
      <c r="H86" s="171" t="s">
        <v>285</v>
      </c>
      <c r="I86" s="127">
        <v>0</v>
      </c>
      <c r="J86" s="77">
        <f t="shared" si="1"/>
        <v>0</v>
      </c>
      <c r="K86" s="127"/>
      <c r="L86" s="127" t="s">
        <v>220</v>
      </c>
    </row>
    <row r="87" spans="2:13" ht="13.2">
      <c r="B87" s="40"/>
      <c r="C87" s="93" t="s">
        <v>48</v>
      </c>
      <c r="D87" s="94">
        <v>2025</v>
      </c>
      <c r="E87" s="94" t="s">
        <v>219</v>
      </c>
      <c r="F87" s="93" t="str">
        <f>D188</f>
        <v>ERWINELCWIN525N</v>
      </c>
      <c r="G87" s="93" t="s">
        <v>53</v>
      </c>
      <c r="H87" s="95" t="s">
        <v>285</v>
      </c>
      <c r="I87" s="62">
        <v>0</v>
      </c>
      <c r="J87" s="77">
        <f t="shared" si="1"/>
        <v>0</v>
      </c>
      <c r="K87" s="40"/>
      <c r="L87" s="93" t="s">
        <v>220</v>
      </c>
    </row>
    <row r="88" spans="2:13" ht="13.2">
      <c r="B88" s="40"/>
      <c r="C88" s="93" t="s">
        <v>48</v>
      </c>
      <c r="D88" s="94">
        <f>D87+5</f>
        <v>2030</v>
      </c>
      <c r="E88" s="94" t="s">
        <v>219</v>
      </c>
      <c r="F88" s="40" t="str">
        <f>F87</f>
        <v>ERWINELCWIN525N</v>
      </c>
      <c r="G88" s="93" t="s">
        <v>53</v>
      </c>
      <c r="H88" s="95" t="s">
        <v>285</v>
      </c>
      <c r="I88" s="62">
        <v>0</v>
      </c>
      <c r="J88" s="77">
        <f t="shared" si="1"/>
        <v>0</v>
      </c>
      <c r="K88" s="40"/>
      <c r="L88" s="93" t="s">
        <v>220</v>
      </c>
      <c r="M88" t="s">
        <v>277</v>
      </c>
    </row>
    <row r="89" spans="2:13" ht="13.2">
      <c r="B89" s="127"/>
      <c r="C89" s="127" t="s">
        <v>48</v>
      </c>
      <c r="D89" s="170">
        <f>D88+1</f>
        <v>2031</v>
      </c>
      <c r="E89" s="170" t="s">
        <v>219</v>
      </c>
      <c r="F89" s="127" t="str">
        <f>F88</f>
        <v>ERWINELCWIN525N</v>
      </c>
      <c r="G89" s="127" t="s">
        <v>53</v>
      </c>
      <c r="H89" s="171" t="s">
        <v>285</v>
      </c>
      <c r="I89" s="127">
        <v>0</v>
      </c>
      <c r="J89" s="77">
        <f t="shared" si="1"/>
        <v>0</v>
      </c>
      <c r="K89" s="127"/>
      <c r="L89" s="127" t="s">
        <v>220</v>
      </c>
    </row>
    <row r="90" spans="2:13" ht="13.2">
      <c r="B90" s="130"/>
      <c r="C90" s="130" t="s">
        <v>48</v>
      </c>
      <c r="D90" s="173">
        <f>$B$189</f>
        <v>2030</v>
      </c>
      <c r="E90" s="173" t="s">
        <v>219</v>
      </c>
      <c r="F90" s="130" t="str">
        <f>D189</f>
        <v>ERWINELCWIN530N</v>
      </c>
      <c r="G90" s="130" t="s">
        <v>53</v>
      </c>
      <c r="H90" s="95" t="s">
        <v>285</v>
      </c>
      <c r="I90" s="174">
        <v>0</v>
      </c>
      <c r="J90" s="77">
        <f t="shared" si="1"/>
        <v>0</v>
      </c>
      <c r="K90" s="130"/>
      <c r="L90" s="130" t="s">
        <v>220</v>
      </c>
    </row>
    <row r="91" spans="2:13" ht="13.2">
      <c r="B91" s="93"/>
      <c r="C91" s="93" t="s">
        <v>48</v>
      </c>
      <c r="D91" s="94">
        <f>D90+5</f>
        <v>2035</v>
      </c>
      <c r="E91" s="94" t="s">
        <v>219</v>
      </c>
      <c r="F91" s="93" t="str">
        <f>F90</f>
        <v>ERWINELCWIN530N</v>
      </c>
      <c r="G91" s="93" t="s">
        <v>53</v>
      </c>
      <c r="H91" s="95" t="s">
        <v>285</v>
      </c>
      <c r="I91" s="96">
        <v>0</v>
      </c>
      <c r="J91" s="77">
        <f t="shared" si="1"/>
        <v>0</v>
      </c>
      <c r="K91" s="93"/>
      <c r="L91" s="93" t="s">
        <v>220</v>
      </c>
    </row>
    <row r="92" spans="2:13" ht="13.2">
      <c r="B92" s="127"/>
      <c r="C92" s="127" t="s">
        <v>48</v>
      </c>
      <c r="D92" s="170">
        <f>D91+1</f>
        <v>2036</v>
      </c>
      <c r="E92" s="170" t="s">
        <v>219</v>
      </c>
      <c r="F92" s="127" t="str">
        <f>F90</f>
        <v>ERWINELCWIN530N</v>
      </c>
      <c r="G92" s="127" t="s">
        <v>53</v>
      </c>
      <c r="H92" s="171" t="s">
        <v>285</v>
      </c>
      <c r="I92" s="175">
        <v>0</v>
      </c>
      <c r="J92" s="77">
        <f t="shared" si="1"/>
        <v>0</v>
      </c>
      <c r="K92" s="127"/>
      <c r="L92" s="127" t="s">
        <v>220</v>
      </c>
      <c r="M92" t="s">
        <v>277</v>
      </c>
    </row>
    <row r="93" spans="2:13" ht="13.2">
      <c r="B93" s="40"/>
      <c r="C93" s="93" t="s">
        <v>48</v>
      </c>
      <c r="D93" s="94">
        <v>2035</v>
      </c>
      <c r="E93" s="94" t="s">
        <v>219</v>
      </c>
      <c r="F93" s="93" t="s">
        <v>312</v>
      </c>
      <c r="G93" s="93" t="s">
        <v>53</v>
      </c>
      <c r="H93" s="95" t="s">
        <v>285</v>
      </c>
      <c r="I93" s="96">
        <v>0</v>
      </c>
      <c r="J93" s="77">
        <f t="shared" si="1"/>
        <v>0</v>
      </c>
      <c r="K93" s="40"/>
      <c r="L93" s="93" t="s">
        <v>220</v>
      </c>
    </row>
    <row r="94" spans="2:13" ht="13.2">
      <c r="B94" s="40"/>
      <c r="C94" s="93" t="s">
        <v>48</v>
      </c>
      <c r="D94" s="94">
        <f>D93+5</f>
        <v>2040</v>
      </c>
      <c r="E94" s="94" t="s">
        <v>219</v>
      </c>
      <c r="F94" s="40" t="str">
        <f>F93</f>
        <v>ERWINELCWIN535N</v>
      </c>
      <c r="G94" s="93" t="s">
        <v>53</v>
      </c>
      <c r="H94" s="95" t="s">
        <v>285</v>
      </c>
      <c r="I94" s="96">
        <v>0</v>
      </c>
      <c r="J94" s="77">
        <f t="shared" si="1"/>
        <v>0</v>
      </c>
      <c r="K94" s="40"/>
      <c r="L94" s="93" t="s">
        <v>220</v>
      </c>
      <c r="M94" t="s">
        <v>277</v>
      </c>
    </row>
    <row r="95" spans="2:13" ht="13.2">
      <c r="B95" s="127"/>
      <c r="C95" s="127" t="s">
        <v>48</v>
      </c>
      <c r="D95" s="170">
        <f>D94+1</f>
        <v>2041</v>
      </c>
      <c r="E95" s="170" t="s">
        <v>219</v>
      </c>
      <c r="F95" s="127" t="str">
        <f>F94</f>
        <v>ERWINELCWIN535N</v>
      </c>
      <c r="G95" s="127" t="s">
        <v>53</v>
      </c>
      <c r="H95" s="171" t="s">
        <v>285</v>
      </c>
      <c r="I95" s="127">
        <v>0</v>
      </c>
      <c r="J95" s="77">
        <f t="shared" si="1"/>
        <v>0</v>
      </c>
      <c r="K95" s="127"/>
      <c r="L95" s="127" t="s">
        <v>220</v>
      </c>
    </row>
    <row r="96" spans="2:13" ht="13.2">
      <c r="B96" s="130"/>
      <c r="C96" s="130" t="s">
        <v>48</v>
      </c>
      <c r="D96" s="173">
        <v>2040</v>
      </c>
      <c r="E96" s="173" t="s">
        <v>219</v>
      </c>
      <c r="F96" s="93" t="s">
        <v>313</v>
      </c>
      <c r="G96" s="130" t="s">
        <v>53</v>
      </c>
      <c r="H96" s="95" t="s">
        <v>285</v>
      </c>
      <c r="I96" s="96">
        <v>0</v>
      </c>
      <c r="J96" s="77">
        <f t="shared" si="1"/>
        <v>0</v>
      </c>
      <c r="K96" s="130"/>
      <c r="L96" s="130" t="s">
        <v>220</v>
      </c>
    </row>
    <row r="97" spans="2:13" ht="13.2">
      <c r="B97" s="93"/>
      <c r="C97" s="93" t="s">
        <v>48</v>
      </c>
      <c r="D97" s="94">
        <f>D96+5</f>
        <v>2045</v>
      </c>
      <c r="E97" s="94" t="s">
        <v>219</v>
      </c>
      <c r="F97" s="93" t="str">
        <f>F96</f>
        <v>ERWINELCWIN540N</v>
      </c>
      <c r="G97" s="93" t="s">
        <v>53</v>
      </c>
      <c r="H97" s="95" t="s">
        <v>285</v>
      </c>
      <c r="I97" s="96">
        <v>0</v>
      </c>
      <c r="J97" s="77">
        <f t="shared" si="1"/>
        <v>0</v>
      </c>
      <c r="K97" s="93"/>
      <c r="L97" s="93" t="s">
        <v>220</v>
      </c>
    </row>
    <row r="98" spans="2:13" ht="13.2">
      <c r="B98" s="127"/>
      <c r="C98" s="127" t="s">
        <v>48</v>
      </c>
      <c r="D98" s="170">
        <f>D97+1</f>
        <v>2046</v>
      </c>
      <c r="E98" s="170" t="s">
        <v>219</v>
      </c>
      <c r="F98" s="127" t="str">
        <f>F96</f>
        <v>ERWINELCWIN540N</v>
      </c>
      <c r="G98" s="127" t="s">
        <v>53</v>
      </c>
      <c r="H98" s="171" t="s">
        <v>285</v>
      </c>
      <c r="I98" s="170">
        <v>0</v>
      </c>
      <c r="J98" s="77">
        <f t="shared" si="1"/>
        <v>0</v>
      </c>
      <c r="K98" s="127"/>
      <c r="L98" s="127" t="s">
        <v>220</v>
      </c>
      <c r="M98" t="s">
        <v>277</v>
      </c>
    </row>
    <row r="99" spans="2:13" ht="13.2">
      <c r="B99" s="130"/>
      <c r="C99" s="130" t="s">
        <v>48</v>
      </c>
      <c r="D99" s="173">
        <v>2045</v>
      </c>
      <c r="E99" s="173" t="s">
        <v>219</v>
      </c>
      <c r="F99" s="93" t="s">
        <v>314</v>
      </c>
      <c r="G99" s="130" t="s">
        <v>53</v>
      </c>
      <c r="H99" s="95" t="s">
        <v>285</v>
      </c>
      <c r="I99" s="96">
        <v>0</v>
      </c>
      <c r="J99" s="77">
        <f t="shared" si="1"/>
        <v>0</v>
      </c>
      <c r="K99" s="130"/>
      <c r="L99" s="130" t="s">
        <v>220</v>
      </c>
    </row>
    <row r="100" spans="2:13" ht="13.2">
      <c r="B100" s="93"/>
      <c r="C100" s="93" t="s">
        <v>48</v>
      </c>
      <c r="D100" s="94">
        <f>D99+5</f>
        <v>2050</v>
      </c>
      <c r="E100" s="94" t="s">
        <v>219</v>
      </c>
      <c r="F100" s="93" t="str">
        <f>F99</f>
        <v>ERWINELCWIN545N</v>
      </c>
      <c r="G100" s="93" t="s">
        <v>53</v>
      </c>
      <c r="H100" s="95" t="s">
        <v>285</v>
      </c>
      <c r="I100" s="96">
        <v>0</v>
      </c>
      <c r="J100" s="77">
        <f t="shared" si="1"/>
        <v>0</v>
      </c>
      <c r="K100" s="93"/>
      <c r="L100" s="93" t="s">
        <v>220</v>
      </c>
    </row>
    <row r="101" spans="2:13" ht="13.2">
      <c r="B101" s="127"/>
      <c r="C101" s="127" t="s">
        <v>48</v>
      </c>
      <c r="D101" s="170">
        <f>D100+1</f>
        <v>2051</v>
      </c>
      <c r="E101" s="170" t="s">
        <v>219</v>
      </c>
      <c r="F101" s="127" t="str">
        <f>F99</f>
        <v>ERWINELCWIN545N</v>
      </c>
      <c r="G101" s="127" t="s">
        <v>53</v>
      </c>
      <c r="H101" s="171" t="s">
        <v>285</v>
      </c>
      <c r="I101" s="170">
        <v>0</v>
      </c>
      <c r="J101" s="77">
        <f t="shared" si="1"/>
        <v>0</v>
      </c>
      <c r="K101" s="127"/>
      <c r="L101" s="127" t="s">
        <v>220</v>
      </c>
      <c r="M101" t="s">
        <v>277</v>
      </c>
    </row>
    <row r="102" spans="2:13" ht="13.8" thickBot="1">
      <c r="B102" s="107"/>
      <c r="C102" s="107" t="s">
        <v>48</v>
      </c>
      <c r="D102" s="108">
        <f>$B$193</f>
        <v>2050</v>
      </c>
      <c r="E102" s="108" t="s">
        <v>219</v>
      </c>
      <c r="F102" s="107" t="str">
        <f>D193</f>
        <v>ERWINELCWIN550N</v>
      </c>
      <c r="G102" s="107" t="s">
        <v>53</v>
      </c>
      <c r="H102" s="109" t="s">
        <v>285</v>
      </c>
      <c r="I102" s="110">
        <v>0</v>
      </c>
      <c r="J102" s="77">
        <f t="shared" si="1"/>
        <v>0</v>
      </c>
      <c r="K102" s="107"/>
      <c r="L102" s="107" t="s">
        <v>220</v>
      </c>
    </row>
    <row r="103" spans="2:13" ht="13.2">
      <c r="B103" s="91"/>
      <c r="C103" s="83" t="s">
        <v>48</v>
      </c>
      <c r="D103" s="84">
        <f>$B$184</f>
        <v>2010</v>
      </c>
      <c r="E103" s="84" t="s">
        <v>219</v>
      </c>
      <c r="F103" s="91" t="str">
        <f>E184</f>
        <v>ERSOLPVO1E</v>
      </c>
      <c r="G103" s="83" t="s">
        <v>54</v>
      </c>
      <c r="H103" s="85" t="s">
        <v>285</v>
      </c>
      <c r="I103" s="92">
        <f>E23</f>
        <v>81.3888888888889</v>
      </c>
      <c r="J103" s="77">
        <f t="shared" si="1"/>
        <v>81.3888888888889</v>
      </c>
      <c r="K103" s="91"/>
      <c r="L103" s="83" t="s">
        <v>260</v>
      </c>
    </row>
    <row r="104" spans="2:13" ht="13.2">
      <c r="B104" s="91"/>
      <c r="C104" s="83" t="s">
        <v>48</v>
      </c>
      <c r="D104" s="84">
        <f>D103+9</f>
        <v>2019</v>
      </c>
      <c r="E104" s="84" t="str">
        <f>E103</f>
        <v>ELE</v>
      </c>
      <c r="F104" s="91" t="str">
        <f>F103</f>
        <v>ERSOLPVO1E</v>
      </c>
      <c r="G104" s="83" t="str">
        <f>G103</f>
        <v>ELCSOL</v>
      </c>
      <c r="H104" s="85" t="str">
        <f>H103</f>
        <v>MKr15</v>
      </c>
      <c r="I104" s="92">
        <f>(E24-E25)/5*1+E25</f>
        <v>75.322222222222223</v>
      </c>
      <c r="J104" s="77">
        <f t="shared" si="1"/>
        <v>75.322222222222223</v>
      </c>
      <c r="K104" s="91"/>
      <c r="L104" s="83" t="s">
        <v>260</v>
      </c>
    </row>
    <row r="105" spans="2:13" ht="13.2">
      <c r="B105" s="91"/>
      <c r="C105" s="83" t="s">
        <v>48</v>
      </c>
      <c r="D105" s="84">
        <f>D104+1</f>
        <v>2020</v>
      </c>
      <c r="E105" s="84" t="s">
        <v>219</v>
      </c>
      <c r="F105" s="91" t="str">
        <f>F103</f>
        <v>ERSOLPVO1E</v>
      </c>
      <c r="G105" s="83" t="s">
        <v>54</v>
      </c>
      <c r="H105" s="85" t="str">
        <f t="shared" ref="H105:H106" si="2">H104</f>
        <v>MKr15</v>
      </c>
      <c r="I105" s="92">
        <f>E31</f>
        <v>18.250000000000004</v>
      </c>
      <c r="J105" s="77">
        <f t="shared" si="1"/>
        <v>18.250000000000004</v>
      </c>
      <c r="K105" s="91"/>
      <c r="L105" s="83" t="s">
        <v>260</v>
      </c>
      <c r="M105" s="10" t="s">
        <v>278</v>
      </c>
    </row>
    <row r="106" spans="2:13" ht="13.2">
      <c r="B106" s="91"/>
      <c r="C106" s="83" t="str">
        <f>C105</f>
        <v>FLO_SUB</v>
      </c>
      <c r="D106" s="84">
        <f>D104+10</f>
        <v>2029</v>
      </c>
      <c r="E106" s="84" t="str">
        <f>E105</f>
        <v>ELE</v>
      </c>
      <c r="F106" s="91" t="str">
        <f>F105</f>
        <v>ERSOLPVO1E</v>
      </c>
      <c r="G106" s="83" t="str">
        <f>G105</f>
        <v>ELCSOL</v>
      </c>
      <c r="H106" s="85" t="str">
        <f t="shared" si="2"/>
        <v>MKr15</v>
      </c>
      <c r="I106" s="92">
        <f>($E$32-$E$33)/5*4+$E$33</f>
        <v>9.1500000000000092</v>
      </c>
      <c r="J106" s="77">
        <f t="shared" ref="J106:J169" si="3">I106</f>
        <v>9.1500000000000092</v>
      </c>
      <c r="K106" s="91"/>
      <c r="L106" s="83" t="s">
        <v>260</v>
      </c>
    </row>
    <row r="107" spans="2:13" ht="13.2">
      <c r="B107" s="176"/>
      <c r="C107" s="176" t="s">
        <v>48</v>
      </c>
      <c r="D107" s="177">
        <f>D106+1</f>
        <v>2030</v>
      </c>
      <c r="E107" s="177" t="s">
        <v>219</v>
      </c>
      <c r="F107" s="176" t="str">
        <f>F105</f>
        <v>ERSOLPVO1E</v>
      </c>
      <c r="G107" s="176" t="s">
        <v>54</v>
      </c>
      <c r="H107" s="178" t="s">
        <v>285</v>
      </c>
      <c r="I107" s="179">
        <v>0</v>
      </c>
      <c r="J107" s="77">
        <f t="shared" si="3"/>
        <v>0</v>
      </c>
      <c r="K107" s="176"/>
      <c r="L107" s="176" t="s">
        <v>260</v>
      </c>
    </row>
    <row r="108" spans="2:13" ht="13.2">
      <c r="B108" s="91"/>
      <c r="C108" s="83" t="s">
        <v>48</v>
      </c>
      <c r="D108" s="84">
        <v>2012</v>
      </c>
      <c r="E108" s="84" t="s">
        <v>219</v>
      </c>
      <c r="F108" s="91" t="str">
        <f>I185</f>
        <v>ERSOLPVO1N</v>
      </c>
      <c r="G108" s="83" t="s">
        <v>54</v>
      </c>
      <c r="H108" s="85" t="s">
        <v>285</v>
      </c>
      <c r="I108" s="92">
        <f>E23</f>
        <v>81.3888888888889</v>
      </c>
      <c r="J108" s="77">
        <f t="shared" si="3"/>
        <v>81.3888888888889</v>
      </c>
      <c r="K108" s="91"/>
      <c r="L108" s="83" t="s">
        <v>260</v>
      </c>
    </row>
    <row r="109" spans="2:13" ht="13.2">
      <c r="B109" s="91"/>
      <c r="C109" s="83" t="s">
        <v>48</v>
      </c>
      <c r="D109" s="84">
        <f>D108+9</f>
        <v>2021</v>
      </c>
      <c r="E109" s="84" t="str">
        <f>E108</f>
        <v>ELE</v>
      </c>
      <c r="F109" s="91" t="str">
        <f>F108</f>
        <v>ERSOLPVO1N</v>
      </c>
      <c r="G109" s="83" t="str">
        <f>G108</f>
        <v>ELCSOL</v>
      </c>
      <c r="H109" s="85" t="str">
        <f>H108</f>
        <v>MKr15</v>
      </c>
      <c r="I109" s="92">
        <f>E27</f>
        <v>58.638888888888893</v>
      </c>
      <c r="J109" s="77">
        <f t="shared" si="3"/>
        <v>58.638888888888893</v>
      </c>
      <c r="K109" s="91"/>
      <c r="L109" s="83" t="s">
        <v>260</v>
      </c>
    </row>
    <row r="110" spans="2:13" ht="13.2">
      <c r="B110" s="91"/>
      <c r="C110" s="83" t="s">
        <v>48</v>
      </c>
      <c r="D110" s="84">
        <f>D109+1</f>
        <v>2022</v>
      </c>
      <c r="E110" s="84" t="s">
        <v>219</v>
      </c>
      <c r="F110" s="91" t="str">
        <f>F108</f>
        <v>ERSOLPVO1N</v>
      </c>
      <c r="G110" s="83" t="s">
        <v>54</v>
      </c>
      <c r="H110" s="85" t="str">
        <f t="shared" ref="H110:H111" si="4">H109</f>
        <v>MKr15</v>
      </c>
      <c r="I110" s="92">
        <f>E31</f>
        <v>18.250000000000004</v>
      </c>
      <c r="J110" s="77">
        <f t="shared" si="3"/>
        <v>18.250000000000004</v>
      </c>
      <c r="K110" s="91"/>
      <c r="L110" s="83" t="s">
        <v>260</v>
      </c>
      <c r="M110" s="10" t="s">
        <v>278</v>
      </c>
    </row>
    <row r="111" spans="2:13" ht="13.2">
      <c r="B111" s="91"/>
      <c r="C111" s="83" t="str">
        <f>C110</f>
        <v>FLO_SUB</v>
      </c>
      <c r="D111" s="84">
        <f>D109+10</f>
        <v>2031</v>
      </c>
      <c r="E111" s="84" t="str">
        <f>E110</f>
        <v>ELE</v>
      </c>
      <c r="F111" s="91" t="str">
        <f>F110</f>
        <v>ERSOLPVO1N</v>
      </c>
      <c r="G111" s="83" t="str">
        <f>G110</f>
        <v>ELCSOL</v>
      </c>
      <c r="H111" s="85" t="str">
        <f t="shared" si="4"/>
        <v>MKr15</v>
      </c>
      <c r="I111" s="92">
        <f>E33</f>
        <v>3.0833333333333415</v>
      </c>
      <c r="J111" s="77">
        <f t="shared" si="3"/>
        <v>3.0833333333333415</v>
      </c>
      <c r="K111" s="91"/>
      <c r="L111" s="83" t="s">
        <v>260</v>
      </c>
    </row>
    <row r="112" spans="2:13" ht="13.2">
      <c r="B112" s="176"/>
      <c r="C112" s="176" t="s">
        <v>48</v>
      </c>
      <c r="D112" s="177">
        <f>D111+1</f>
        <v>2032</v>
      </c>
      <c r="E112" s="177" t="s">
        <v>219</v>
      </c>
      <c r="F112" s="176" t="str">
        <f>F110</f>
        <v>ERSOLPVO1N</v>
      </c>
      <c r="G112" s="176" t="s">
        <v>54</v>
      </c>
      <c r="H112" s="178" t="s">
        <v>285</v>
      </c>
      <c r="I112" s="179">
        <v>0</v>
      </c>
      <c r="J112" s="77">
        <f t="shared" si="3"/>
        <v>0</v>
      </c>
      <c r="K112" s="176"/>
      <c r="L112" s="176" t="s">
        <v>260</v>
      </c>
    </row>
    <row r="113" spans="2:27" ht="13.2">
      <c r="B113" s="91"/>
      <c r="C113" s="83" t="s">
        <v>48</v>
      </c>
      <c r="D113" s="84">
        <f>$B$186</f>
        <v>2015</v>
      </c>
      <c r="E113" s="84" t="s">
        <v>219</v>
      </c>
      <c r="F113" s="91" t="str">
        <f>E186&amp;", "&amp;G186&amp;", "&amp;H186&amp;", "&amp;I186</f>
        <v>ERSOLPV5N15, ERSOLPV6N15, ERSOLPV7N15, ERSOLPVO2N</v>
      </c>
      <c r="G113" s="83" t="s">
        <v>54</v>
      </c>
      <c r="H113" s="85" t="s">
        <v>285</v>
      </c>
      <c r="I113" s="92">
        <f>E24</f>
        <v>81.3888888888889</v>
      </c>
      <c r="J113" s="77">
        <f t="shared" si="3"/>
        <v>81.3888888888889</v>
      </c>
      <c r="K113" s="91"/>
      <c r="L113" s="83" t="s">
        <v>260</v>
      </c>
    </row>
    <row r="114" spans="2:27" ht="13.2">
      <c r="B114" s="91"/>
      <c r="C114" s="83" t="str">
        <f>C113</f>
        <v>FLO_SUB</v>
      </c>
      <c r="D114" s="84">
        <f>D113+9</f>
        <v>2024</v>
      </c>
      <c r="E114" s="84" t="str">
        <f>E113</f>
        <v>ELE</v>
      </c>
      <c r="F114" s="91" t="str">
        <f>F113</f>
        <v>ERSOLPV5N15, ERSOLPV6N15, ERSOLPV7N15, ERSOLPVO2N</v>
      </c>
      <c r="G114" s="83" t="str">
        <f>G113</f>
        <v>ELCSOL</v>
      </c>
      <c r="H114" s="85" t="str">
        <f>H113</f>
        <v>MKr15</v>
      </c>
      <c r="I114" s="92">
        <f>($E$25-$E$26)/5*1+$E$26</f>
        <v>67.738888888888894</v>
      </c>
      <c r="J114" s="77">
        <f t="shared" si="3"/>
        <v>67.738888888888894</v>
      </c>
      <c r="K114" s="91"/>
      <c r="L114" s="83" t="str">
        <f>L113</f>
        <v>Solar PV</v>
      </c>
    </row>
    <row r="115" spans="2:27" ht="13.2">
      <c r="B115" s="91"/>
      <c r="C115" s="83" t="s">
        <v>48</v>
      </c>
      <c r="D115" s="84">
        <f>D114+1</f>
        <v>2025</v>
      </c>
      <c r="E115" s="84" t="s">
        <v>219</v>
      </c>
      <c r="F115" s="91" t="str">
        <f>F113</f>
        <v>ERSOLPV5N15, ERSOLPV6N15, ERSOLPV7N15, ERSOLPVO2N</v>
      </c>
      <c r="G115" s="83" t="s">
        <v>54</v>
      </c>
      <c r="H115" s="85" t="str">
        <f t="shared" ref="H115:H116" si="5">H114</f>
        <v>MKr15</v>
      </c>
      <c r="I115" s="92">
        <f>E32</f>
        <v>10.666666666666677</v>
      </c>
      <c r="J115" s="77">
        <f t="shared" si="3"/>
        <v>10.666666666666677</v>
      </c>
      <c r="K115" s="91"/>
      <c r="L115" s="83" t="s">
        <v>260</v>
      </c>
      <c r="M115" s="10" t="s">
        <v>278</v>
      </c>
    </row>
    <row r="116" spans="2:27" ht="13.2">
      <c r="B116" s="91"/>
      <c r="C116" s="83" t="str">
        <f>C115</f>
        <v>FLO_SUB</v>
      </c>
      <c r="D116" s="84">
        <f>D114+10</f>
        <v>2034</v>
      </c>
      <c r="E116" s="84" t="str">
        <f>E115</f>
        <v>ELE</v>
      </c>
      <c r="F116" s="91" t="str">
        <f>F115</f>
        <v>ERSOLPV5N15, ERSOLPV6N15, ERSOLPV7N15, ERSOLPVO2N</v>
      </c>
      <c r="G116" s="83" t="str">
        <f>G115</f>
        <v>ELCSOL</v>
      </c>
      <c r="H116" s="85" t="str">
        <f t="shared" si="5"/>
        <v>MKr15</v>
      </c>
      <c r="I116" s="92">
        <f>($E$32-$E$33)/5*1+$E$33</f>
        <v>4.6000000000000085</v>
      </c>
      <c r="J116" s="77">
        <f t="shared" si="3"/>
        <v>4.6000000000000085</v>
      </c>
      <c r="K116" s="91"/>
      <c r="L116" s="83" t="str">
        <f>L115</f>
        <v>Solar PV</v>
      </c>
    </row>
    <row r="117" spans="2:27" ht="13.2">
      <c r="B117" s="176"/>
      <c r="C117" s="176" t="s">
        <v>48</v>
      </c>
      <c r="D117" s="177">
        <f>D116+1</f>
        <v>2035</v>
      </c>
      <c r="E117" s="177" t="s">
        <v>219</v>
      </c>
      <c r="F117" s="176" t="str">
        <f>F115</f>
        <v>ERSOLPV5N15, ERSOLPV6N15, ERSOLPV7N15, ERSOLPVO2N</v>
      </c>
      <c r="G117" s="176" t="s">
        <v>54</v>
      </c>
      <c r="H117" s="178" t="s">
        <v>285</v>
      </c>
      <c r="I117" s="176">
        <v>0</v>
      </c>
      <c r="J117" s="77">
        <f t="shared" si="3"/>
        <v>0</v>
      </c>
      <c r="K117" s="176"/>
      <c r="L117" s="176" t="s">
        <v>260</v>
      </c>
    </row>
    <row r="118" spans="2:27" ht="13.2">
      <c r="B118" s="91"/>
      <c r="C118" s="83" t="s">
        <v>48</v>
      </c>
      <c r="D118" s="84">
        <f>$B$187</f>
        <v>2020</v>
      </c>
      <c r="E118" s="84" t="s">
        <v>219</v>
      </c>
      <c r="F118" s="83" t="str">
        <f>I187&amp;", "&amp;K187&amp;", "&amp;E187&amp;", "&amp;G187&amp;", "&amp;H187</f>
        <v>ERSOLPVO3N-DKW, ERSOLPVO3N-DKE, ERSOLPV5N20, ERSOLPV6N20, ERSOLPV7N20</v>
      </c>
      <c r="G118" s="83" t="s">
        <v>54</v>
      </c>
      <c r="H118" s="85" t="s">
        <v>285</v>
      </c>
      <c r="I118" s="92">
        <v>0</v>
      </c>
      <c r="J118" s="77">
        <f t="shared" si="3"/>
        <v>0</v>
      </c>
      <c r="K118" s="91"/>
      <c r="L118" s="83" t="s">
        <v>260</v>
      </c>
    </row>
    <row r="119" spans="2:27" ht="13.2">
      <c r="B119" s="91"/>
      <c r="C119" s="83" t="str">
        <f>C118</f>
        <v>FLO_SUB</v>
      </c>
      <c r="D119" s="84">
        <f>D118+9</f>
        <v>2029</v>
      </c>
      <c r="E119" s="84" t="str">
        <f>E118</f>
        <v>ELE</v>
      </c>
      <c r="F119" s="83" t="str">
        <f>F118</f>
        <v>ERSOLPVO3N-DKW, ERSOLPVO3N-DKE, ERSOLPV5N20, ERSOLPV6N20, ERSOLPV7N20</v>
      </c>
      <c r="G119" s="83" t="str">
        <f>G118</f>
        <v>ELCSOL</v>
      </c>
      <c r="H119" s="85" t="str">
        <f>H118</f>
        <v>MKr15</v>
      </c>
      <c r="I119" s="92">
        <v>0</v>
      </c>
      <c r="J119" s="77">
        <f t="shared" si="3"/>
        <v>0</v>
      </c>
      <c r="K119" s="91"/>
      <c r="L119" s="83" t="str">
        <f>L118</f>
        <v>Solar PV</v>
      </c>
    </row>
    <row r="120" spans="2:27" ht="13.2">
      <c r="B120" s="91"/>
      <c r="C120" s="83" t="s">
        <v>48</v>
      </c>
      <c r="D120" s="84">
        <f>D119+1</f>
        <v>2030</v>
      </c>
      <c r="E120" s="84" t="s">
        <v>219</v>
      </c>
      <c r="F120" s="91" t="str">
        <f>F118</f>
        <v>ERSOLPVO3N-DKW, ERSOLPVO3N-DKE, ERSOLPV5N20, ERSOLPV6N20, ERSOLPV7N20</v>
      </c>
      <c r="G120" s="83" t="s">
        <v>54</v>
      </c>
      <c r="H120" s="85" t="str">
        <f t="shared" ref="H120:H121" si="6">H119</f>
        <v>MKr15</v>
      </c>
      <c r="I120" s="92">
        <v>0</v>
      </c>
      <c r="J120" s="77">
        <f t="shared" si="3"/>
        <v>0</v>
      </c>
      <c r="K120" s="91"/>
      <c r="L120" s="83" t="s">
        <v>260</v>
      </c>
      <c r="M120" s="10" t="s">
        <v>278</v>
      </c>
    </row>
    <row r="121" spans="2:27" ht="13.2">
      <c r="B121" s="91"/>
      <c r="C121" s="83" t="str">
        <f>C120</f>
        <v>FLO_SUB</v>
      </c>
      <c r="D121" s="84">
        <f>D119+10</f>
        <v>2039</v>
      </c>
      <c r="E121" s="84" t="str">
        <f>E120</f>
        <v>ELE</v>
      </c>
      <c r="F121" s="83" t="str">
        <f>F120</f>
        <v>ERSOLPVO3N-DKW, ERSOLPVO3N-DKE, ERSOLPV5N20, ERSOLPV6N20, ERSOLPV7N20</v>
      </c>
      <c r="G121" s="83" t="str">
        <f>G120</f>
        <v>ELCSOL</v>
      </c>
      <c r="H121" s="85" t="str">
        <f t="shared" si="6"/>
        <v>MKr15</v>
      </c>
      <c r="I121" s="92">
        <v>0</v>
      </c>
      <c r="J121" s="77">
        <f t="shared" si="3"/>
        <v>0</v>
      </c>
      <c r="K121" s="91"/>
      <c r="L121" s="83" t="str">
        <f>L120</f>
        <v>Solar PV</v>
      </c>
    </row>
    <row r="122" spans="2:27" ht="13.2">
      <c r="B122" s="176"/>
      <c r="C122" s="176" t="s">
        <v>48</v>
      </c>
      <c r="D122" s="177">
        <f>D121+1</f>
        <v>2040</v>
      </c>
      <c r="E122" s="177" t="s">
        <v>219</v>
      </c>
      <c r="F122" s="176" t="str">
        <f>F120</f>
        <v>ERSOLPVO3N-DKW, ERSOLPVO3N-DKE, ERSOLPV5N20, ERSOLPV6N20, ERSOLPV7N20</v>
      </c>
      <c r="G122" s="176" t="s">
        <v>54</v>
      </c>
      <c r="H122" s="178" t="s">
        <v>285</v>
      </c>
      <c r="I122" s="179">
        <v>0</v>
      </c>
      <c r="J122" s="77">
        <f t="shared" si="3"/>
        <v>0</v>
      </c>
      <c r="K122" s="176"/>
      <c r="L122" s="176" t="s">
        <v>260</v>
      </c>
      <c r="V122" s="13"/>
      <c r="W122" s="13"/>
      <c r="X122" s="13"/>
      <c r="Y122" s="13"/>
      <c r="Z122" s="13"/>
      <c r="AA122" s="13"/>
    </row>
    <row r="123" spans="2:27" ht="13.2">
      <c r="B123" s="83"/>
      <c r="C123" s="83" t="s">
        <v>48</v>
      </c>
      <c r="D123" s="84">
        <f>$B$188</f>
        <v>2025</v>
      </c>
      <c r="E123" s="84" t="s">
        <v>219</v>
      </c>
      <c r="F123" s="83" t="str">
        <f>I188&amp;", "&amp;K188&amp;", "&amp;E188&amp;", "&amp;G188&amp;", "&amp;H188</f>
        <v>ERSOLPVO4N-DKW, ERSOLPVO4N-DKE, ERSOLPV5N25, ERSOLPV6N25, ERSOLPV7N25</v>
      </c>
      <c r="G123" s="83" t="s">
        <v>54</v>
      </c>
      <c r="H123" s="85" t="s">
        <v>285</v>
      </c>
      <c r="I123" s="86">
        <v>0</v>
      </c>
      <c r="J123" s="77">
        <f t="shared" si="3"/>
        <v>0</v>
      </c>
      <c r="K123" s="91"/>
      <c r="L123" s="83" t="s">
        <v>260</v>
      </c>
    </row>
    <row r="124" spans="2:27" ht="13.2">
      <c r="B124" s="83"/>
      <c r="C124" s="83" t="str">
        <f>C123</f>
        <v>FLO_SUB</v>
      </c>
      <c r="D124" s="84">
        <f>D123+9</f>
        <v>2034</v>
      </c>
      <c r="E124" s="84" t="str">
        <f>E123</f>
        <v>ELE</v>
      </c>
      <c r="F124" s="83" t="str">
        <f>F123</f>
        <v>ERSOLPVO4N-DKW, ERSOLPVO4N-DKE, ERSOLPV5N25, ERSOLPV6N25, ERSOLPV7N25</v>
      </c>
      <c r="G124" s="83" t="str">
        <f>G123</f>
        <v>ELCSOL</v>
      </c>
      <c r="H124" s="85" t="str">
        <f>H123</f>
        <v>MKr15</v>
      </c>
      <c r="I124" s="92">
        <v>0</v>
      </c>
      <c r="J124" s="77">
        <f t="shared" si="3"/>
        <v>0</v>
      </c>
      <c r="K124" s="91"/>
      <c r="L124" s="83" t="str">
        <f>L123</f>
        <v>Solar PV</v>
      </c>
    </row>
    <row r="125" spans="2:27" ht="13.2">
      <c r="B125" s="83"/>
      <c r="C125" s="83" t="s">
        <v>48</v>
      </c>
      <c r="D125" s="84">
        <f>D124+1</f>
        <v>2035</v>
      </c>
      <c r="E125" s="84" t="s">
        <v>219</v>
      </c>
      <c r="F125" s="83" t="str">
        <f>F123</f>
        <v>ERSOLPVO4N-DKW, ERSOLPVO4N-DKE, ERSOLPV5N25, ERSOLPV6N25, ERSOLPV7N25</v>
      </c>
      <c r="G125" s="83" t="s">
        <v>54</v>
      </c>
      <c r="H125" s="85" t="str">
        <f t="shared" ref="H125:H126" si="7">H124</f>
        <v>MKr15</v>
      </c>
      <c r="I125" s="86">
        <v>0</v>
      </c>
      <c r="J125" s="77">
        <f t="shared" si="3"/>
        <v>0</v>
      </c>
      <c r="K125" s="83"/>
      <c r="L125" s="83" t="s">
        <v>260</v>
      </c>
      <c r="M125" s="10" t="s">
        <v>278</v>
      </c>
    </row>
    <row r="126" spans="2:27" ht="13.2">
      <c r="B126" s="83"/>
      <c r="C126" s="83" t="str">
        <f>C125</f>
        <v>FLO_SUB</v>
      </c>
      <c r="D126" s="84">
        <f>D124+10</f>
        <v>2044</v>
      </c>
      <c r="E126" s="84" t="str">
        <f>E125</f>
        <v>ELE</v>
      </c>
      <c r="F126" s="83" t="str">
        <f>F125</f>
        <v>ERSOLPVO4N-DKW, ERSOLPVO4N-DKE, ERSOLPV5N25, ERSOLPV6N25, ERSOLPV7N25</v>
      </c>
      <c r="G126" s="83" t="str">
        <f>G125</f>
        <v>ELCSOL</v>
      </c>
      <c r="H126" s="85" t="str">
        <f t="shared" si="7"/>
        <v>MKr15</v>
      </c>
      <c r="I126" s="92">
        <v>0</v>
      </c>
      <c r="J126" s="77">
        <f t="shared" si="3"/>
        <v>0</v>
      </c>
      <c r="K126" s="91"/>
      <c r="L126" s="83" t="str">
        <f>L125</f>
        <v>Solar PV</v>
      </c>
    </row>
    <row r="127" spans="2:27" ht="13.2">
      <c r="B127" s="176"/>
      <c r="C127" s="176" t="s">
        <v>48</v>
      </c>
      <c r="D127" s="177">
        <f>D126+1</f>
        <v>2045</v>
      </c>
      <c r="E127" s="177" t="s">
        <v>219</v>
      </c>
      <c r="F127" s="176" t="str">
        <f>F125</f>
        <v>ERSOLPVO4N-DKW, ERSOLPVO4N-DKE, ERSOLPV5N25, ERSOLPV6N25, ERSOLPV7N25</v>
      </c>
      <c r="G127" s="176" t="s">
        <v>54</v>
      </c>
      <c r="H127" s="178" t="s">
        <v>285</v>
      </c>
      <c r="I127" s="179">
        <v>0</v>
      </c>
      <c r="J127" s="77">
        <f t="shared" si="3"/>
        <v>0</v>
      </c>
      <c r="K127" s="176"/>
      <c r="L127" s="176" t="s">
        <v>260</v>
      </c>
    </row>
    <row r="128" spans="2:27" ht="13.2">
      <c r="B128" s="83"/>
      <c r="C128" s="83" t="s">
        <v>48</v>
      </c>
      <c r="D128" s="84">
        <f>$B$189</f>
        <v>2030</v>
      </c>
      <c r="E128" s="84" t="s">
        <v>219</v>
      </c>
      <c r="F128" s="83" t="str">
        <f>E189&amp;", "&amp;G189&amp;", "&amp;H189</f>
        <v>ERSOLPV5N30, ERSOLPV6N30, ERSOLPV7N30</v>
      </c>
      <c r="G128" s="83" t="s">
        <v>54</v>
      </c>
      <c r="H128" s="85" t="s">
        <v>285</v>
      </c>
      <c r="I128" s="86">
        <v>0</v>
      </c>
      <c r="J128" s="77">
        <f t="shared" si="3"/>
        <v>0</v>
      </c>
      <c r="K128" s="83"/>
      <c r="L128" s="83" t="s">
        <v>260</v>
      </c>
    </row>
    <row r="129" spans="2:13" ht="13.2">
      <c r="B129" s="83"/>
      <c r="C129" s="83" t="s">
        <v>48</v>
      </c>
      <c r="D129" s="84">
        <f>D128+9</f>
        <v>2039</v>
      </c>
      <c r="E129" s="84" t="s">
        <v>219</v>
      </c>
      <c r="F129" s="83" t="str">
        <f>F128</f>
        <v>ERSOLPV5N30, ERSOLPV6N30, ERSOLPV7N30</v>
      </c>
      <c r="G129" s="83" t="s">
        <v>54</v>
      </c>
      <c r="H129" s="85" t="s">
        <v>285</v>
      </c>
      <c r="I129" s="92">
        <v>0</v>
      </c>
      <c r="J129" s="77">
        <f t="shared" si="3"/>
        <v>0</v>
      </c>
      <c r="K129" s="83"/>
      <c r="L129" s="83" t="s">
        <v>260</v>
      </c>
    </row>
    <row r="130" spans="2:13" ht="13.2">
      <c r="B130" s="83"/>
      <c r="C130" s="83" t="s">
        <v>48</v>
      </c>
      <c r="D130" s="84">
        <f>D129+1</f>
        <v>2040</v>
      </c>
      <c r="E130" s="84" t="s">
        <v>219</v>
      </c>
      <c r="F130" s="83" t="str">
        <f>F129</f>
        <v>ERSOLPV5N30, ERSOLPV6N30, ERSOLPV7N30</v>
      </c>
      <c r="G130" s="83" t="s">
        <v>54</v>
      </c>
      <c r="H130" s="85" t="s">
        <v>285</v>
      </c>
      <c r="I130" s="86">
        <f>$C$34</f>
        <v>0</v>
      </c>
      <c r="J130" s="77">
        <f t="shared" si="3"/>
        <v>0</v>
      </c>
      <c r="K130" s="83"/>
      <c r="L130" s="83" t="s">
        <v>260</v>
      </c>
      <c r="M130" s="10" t="s">
        <v>278</v>
      </c>
    </row>
    <row r="131" spans="2:13" ht="13.2">
      <c r="B131" s="176"/>
      <c r="C131" s="176" t="s">
        <v>48</v>
      </c>
      <c r="D131" s="177">
        <v>2050</v>
      </c>
      <c r="E131" s="177" t="s">
        <v>219</v>
      </c>
      <c r="F131" s="176" t="str">
        <f>F128</f>
        <v>ERSOLPV5N30, ERSOLPV6N30, ERSOLPV7N30</v>
      </c>
      <c r="G131" s="176" t="str">
        <f>G128</f>
        <v>ELCSOL</v>
      </c>
      <c r="H131" s="178" t="s">
        <v>285</v>
      </c>
      <c r="I131" s="179">
        <f>I130</f>
        <v>0</v>
      </c>
      <c r="J131" s="77">
        <f t="shared" si="3"/>
        <v>0</v>
      </c>
      <c r="K131" s="176"/>
      <c r="L131" s="176" t="s">
        <v>260</v>
      </c>
    </row>
    <row r="132" spans="2:13" ht="13.2">
      <c r="B132" s="83"/>
      <c r="C132" s="83" t="s">
        <v>48</v>
      </c>
      <c r="D132" s="84">
        <v>2035</v>
      </c>
      <c r="E132" s="84" t="s">
        <v>219</v>
      </c>
      <c r="F132" s="83" t="str">
        <f>E190&amp;", "&amp;G190&amp;", "&amp;H190</f>
        <v>ERSOLPV5N35, ERSOLPV6N35, ERSOLPV7N35</v>
      </c>
      <c r="G132" s="83" t="s">
        <v>54</v>
      </c>
      <c r="H132" s="85" t="s">
        <v>285</v>
      </c>
      <c r="I132" s="86">
        <v>0</v>
      </c>
      <c r="J132" s="77">
        <f t="shared" si="3"/>
        <v>0</v>
      </c>
      <c r="K132" s="83"/>
      <c r="L132" s="83" t="s">
        <v>260</v>
      </c>
    </row>
    <row r="133" spans="2:13" ht="13.2">
      <c r="B133" s="83"/>
      <c r="C133" s="83" t="s">
        <v>48</v>
      </c>
      <c r="D133" s="84">
        <f>D132+9</f>
        <v>2044</v>
      </c>
      <c r="E133" s="84" t="s">
        <v>219</v>
      </c>
      <c r="F133" s="83" t="str">
        <f>F132</f>
        <v>ERSOLPV5N35, ERSOLPV6N35, ERSOLPV7N35</v>
      </c>
      <c r="G133" s="83" t="s">
        <v>54</v>
      </c>
      <c r="H133" s="85" t="s">
        <v>285</v>
      </c>
      <c r="I133" s="92">
        <v>0</v>
      </c>
      <c r="J133" s="77">
        <f t="shared" si="3"/>
        <v>0</v>
      </c>
      <c r="K133" s="83"/>
      <c r="L133" s="83" t="s">
        <v>260</v>
      </c>
    </row>
    <row r="134" spans="2:13" ht="13.2">
      <c r="B134" s="83"/>
      <c r="C134" s="83" t="s">
        <v>48</v>
      </c>
      <c r="D134" s="84">
        <f>D133+1</f>
        <v>2045</v>
      </c>
      <c r="E134" s="84" t="s">
        <v>219</v>
      </c>
      <c r="F134" s="83" t="str">
        <f>F133</f>
        <v>ERSOLPV5N35, ERSOLPV6N35, ERSOLPV7N35</v>
      </c>
      <c r="G134" s="83" t="s">
        <v>54</v>
      </c>
      <c r="H134" s="85" t="s">
        <v>285</v>
      </c>
      <c r="I134" s="86">
        <f>$C$34</f>
        <v>0</v>
      </c>
      <c r="J134" s="77">
        <f t="shared" si="3"/>
        <v>0</v>
      </c>
      <c r="K134" s="83"/>
      <c r="L134" s="83" t="s">
        <v>260</v>
      </c>
      <c r="M134" s="10" t="s">
        <v>278</v>
      </c>
    </row>
    <row r="135" spans="2:13" ht="13.2">
      <c r="B135" s="176"/>
      <c r="C135" s="176" t="s">
        <v>48</v>
      </c>
      <c r="D135" s="177">
        <v>2050</v>
      </c>
      <c r="E135" s="177" t="s">
        <v>219</v>
      </c>
      <c r="F135" s="176" t="str">
        <f>F132</f>
        <v>ERSOLPV5N35, ERSOLPV6N35, ERSOLPV7N35</v>
      </c>
      <c r="G135" s="176" t="str">
        <f>G132</f>
        <v>ELCSOL</v>
      </c>
      <c r="H135" s="178" t="s">
        <v>285</v>
      </c>
      <c r="I135" s="179">
        <f>I134</f>
        <v>0</v>
      </c>
      <c r="J135" s="77">
        <f t="shared" si="3"/>
        <v>0</v>
      </c>
      <c r="K135" s="176"/>
      <c r="L135" s="176" t="s">
        <v>260</v>
      </c>
    </row>
    <row r="136" spans="2:13" ht="13.2">
      <c r="B136" s="83"/>
      <c r="C136" s="83" t="s">
        <v>48</v>
      </c>
      <c r="D136" s="84">
        <v>2040</v>
      </c>
      <c r="E136" s="84" t="s">
        <v>219</v>
      </c>
      <c r="F136" s="83" t="str">
        <f>E191&amp;", "&amp;G191&amp;", "&amp;H191</f>
        <v>ERSOLPV5N40, ERSOLPV6N40, ERSOLPV7N40</v>
      </c>
      <c r="G136" s="83" t="s">
        <v>54</v>
      </c>
      <c r="H136" s="85" t="s">
        <v>285</v>
      </c>
      <c r="I136" s="86">
        <v>0</v>
      </c>
      <c r="J136" s="77">
        <f t="shared" si="3"/>
        <v>0</v>
      </c>
      <c r="K136" s="83"/>
      <c r="L136" s="83" t="s">
        <v>260</v>
      </c>
    </row>
    <row r="137" spans="2:13" ht="13.2">
      <c r="B137" s="83"/>
      <c r="C137" s="83" t="s">
        <v>48</v>
      </c>
      <c r="D137" s="84">
        <f>D136+9</f>
        <v>2049</v>
      </c>
      <c r="E137" s="84" t="s">
        <v>219</v>
      </c>
      <c r="F137" s="83" t="str">
        <f>F136</f>
        <v>ERSOLPV5N40, ERSOLPV6N40, ERSOLPV7N40</v>
      </c>
      <c r="G137" s="83" t="s">
        <v>54</v>
      </c>
      <c r="H137" s="85" t="s">
        <v>285</v>
      </c>
      <c r="I137" s="92">
        <v>0</v>
      </c>
      <c r="J137" s="77">
        <f t="shared" si="3"/>
        <v>0</v>
      </c>
      <c r="K137" s="83"/>
      <c r="L137" s="83" t="s">
        <v>260</v>
      </c>
    </row>
    <row r="138" spans="2:13" ht="13.2">
      <c r="B138" s="83"/>
      <c r="C138" s="83" t="s">
        <v>48</v>
      </c>
      <c r="D138" s="84">
        <f>D137+1</f>
        <v>2050</v>
      </c>
      <c r="E138" s="84" t="s">
        <v>219</v>
      </c>
      <c r="F138" s="83" t="str">
        <f>F137</f>
        <v>ERSOLPV5N40, ERSOLPV6N40, ERSOLPV7N40</v>
      </c>
      <c r="G138" s="83" t="s">
        <v>54</v>
      </c>
      <c r="H138" s="85" t="s">
        <v>285</v>
      </c>
      <c r="I138" s="86">
        <f>$C$34</f>
        <v>0</v>
      </c>
      <c r="J138" s="77">
        <f t="shared" si="3"/>
        <v>0</v>
      </c>
      <c r="K138" s="83"/>
      <c r="L138" s="83" t="s">
        <v>260</v>
      </c>
      <c r="M138" s="10" t="s">
        <v>278</v>
      </c>
    </row>
    <row r="139" spans="2:13" ht="13.2">
      <c r="B139" s="176"/>
      <c r="C139" s="176" t="s">
        <v>48</v>
      </c>
      <c r="D139" s="177">
        <f>D138+1</f>
        <v>2051</v>
      </c>
      <c r="E139" s="177" t="s">
        <v>219</v>
      </c>
      <c r="F139" s="176" t="str">
        <f>F136</f>
        <v>ERSOLPV5N40, ERSOLPV6N40, ERSOLPV7N40</v>
      </c>
      <c r="G139" s="176" t="str">
        <f>G136</f>
        <v>ELCSOL</v>
      </c>
      <c r="H139" s="178" t="s">
        <v>285</v>
      </c>
      <c r="I139" s="179">
        <f>I138</f>
        <v>0</v>
      </c>
      <c r="J139" s="77">
        <f t="shared" si="3"/>
        <v>0</v>
      </c>
      <c r="K139" s="176"/>
      <c r="L139" s="176" t="s">
        <v>260</v>
      </c>
    </row>
    <row r="140" spans="2:13" ht="13.2">
      <c r="B140" s="83"/>
      <c r="C140" s="83" t="s">
        <v>48</v>
      </c>
      <c r="D140" s="84">
        <v>2045</v>
      </c>
      <c r="E140" s="84" t="s">
        <v>219</v>
      </c>
      <c r="F140" s="83" t="str">
        <f>E192&amp;", "&amp;G192&amp;", "&amp;H192</f>
        <v>ERSOLPV5N45, ERSOLPV6N45, ERSOLPV7N45</v>
      </c>
      <c r="G140" s="83" t="s">
        <v>54</v>
      </c>
      <c r="H140" s="85" t="s">
        <v>285</v>
      </c>
      <c r="I140" s="86">
        <v>0</v>
      </c>
      <c r="J140" s="77">
        <f t="shared" si="3"/>
        <v>0</v>
      </c>
      <c r="K140" s="83"/>
      <c r="L140" s="83" t="s">
        <v>260</v>
      </c>
    </row>
    <row r="141" spans="2:13" ht="13.2">
      <c r="B141" s="83"/>
      <c r="C141" s="83" t="s">
        <v>48</v>
      </c>
      <c r="D141" s="84">
        <v>2050</v>
      </c>
      <c r="E141" s="84" t="s">
        <v>219</v>
      </c>
      <c r="F141" s="83" t="str">
        <f>F140</f>
        <v>ERSOLPV5N45, ERSOLPV6N45, ERSOLPV7N45</v>
      </c>
      <c r="G141" s="83" t="s">
        <v>54</v>
      </c>
      <c r="H141" s="85" t="s">
        <v>285</v>
      </c>
      <c r="I141" s="92">
        <v>0</v>
      </c>
      <c r="J141" s="77">
        <f t="shared" si="3"/>
        <v>0</v>
      </c>
      <c r="K141" s="83"/>
      <c r="L141" s="83" t="s">
        <v>260</v>
      </c>
    </row>
    <row r="142" spans="2:13" ht="13.2">
      <c r="B142" s="83"/>
      <c r="C142" s="83" t="s">
        <v>48</v>
      </c>
      <c r="D142" s="84">
        <f>D141+1</f>
        <v>2051</v>
      </c>
      <c r="E142" s="84" t="s">
        <v>219</v>
      </c>
      <c r="F142" s="83" t="str">
        <f>F141</f>
        <v>ERSOLPV5N45, ERSOLPV6N45, ERSOLPV7N45</v>
      </c>
      <c r="G142" s="83" t="s">
        <v>54</v>
      </c>
      <c r="H142" s="85" t="s">
        <v>285</v>
      </c>
      <c r="I142" s="86">
        <f>$C$34</f>
        <v>0</v>
      </c>
      <c r="J142" s="77">
        <f t="shared" si="3"/>
        <v>0</v>
      </c>
      <c r="K142" s="83"/>
      <c r="L142" s="83" t="s">
        <v>260</v>
      </c>
      <c r="M142" s="10" t="s">
        <v>278</v>
      </c>
    </row>
    <row r="143" spans="2:13" ht="13.2">
      <c r="B143" s="176"/>
      <c r="C143" s="176" t="s">
        <v>48</v>
      </c>
      <c r="D143" s="177">
        <f>D142+1</f>
        <v>2052</v>
      </c>
      <c r="E143" s="177" t="s">
        <v>219</v>
      </c>
      <c r="F143" s="176" t="str">
        <f>F140</f>
        <v>ERSOLPV5N45, ERSOLPV6N45, ERSOLPV7N45</v>
      </c>
      <c r="G143" s="176" t="str">
        <f>G140</f>
        <v>ELCSOL</v>
      </c>
      <c r="H143" s="178" t="s">
        <v>285</v>
      </c>
      <c r="I143" s="179">
        <f>I142</f>
        <v>0</v>
      </c>
      <c r="J143" s="77">
        <f t="shared" si="3"/>
        <v>0</v>
      </c>
      <c r="K143" s="176"/>
      <c r="L143" s="176" t="s">
        <v>260</v>
      </c>
    </row>
    <row r="144" spans="2:13" ht="13.8" thickBot="1">
      <c r="B144" s="115"/>
      <c r="C144" s="115" t="s">
        <v>48</v>
      </c>
      <c r="D144" s="116">
        <f>$B$193</f>
        <v>2050</v>
      </c>
      <c r="E144" s="116" t="s">
        <v>219</v>
      </c>
      <c r="F144" s="115" t="str">
        <f>E193&amp;", "&amp;G193&amp;", "&amp;H193</f>
        <v>ERSOLPV5N50, ERSOLPV6N50, ERSOLPV7N50</v>
      </c>
      <c r="G144" s="115" t="s">
        <v>54</v>
      </c>
      <c r="H144" s="117" t="s">
        <v>285</v>
      </c>
      <c r="I144" s="118">
        <v>0</v>
      </c>
      <c r="J144" s="77">
        <f t="shared" si="3"/>
        <v>0</v>
      </c>
      <c r="K144" s="115"/>
      <c r="L144" s="115" t="s">
        <v>260</v>
      </c>
    </row>
    <row r="145" spans="2:27" ht="13.2">
      <c r="B145" s="139"/>
      <c r="C145" s="140" t="s">
        <v>48</v>
      </c>
      <c r="D145" s="141">
        <f>$B$186</f>
        <v>2015</v>
      </c>
      <c r="E145" s="141" t="s">
        <v>219</v>
      </c>
      <c r="F145" s="139" t="str">
        <f>F186</f>
        <v>ERWAV115N</v>
      </c>
      <c r="G145" s="140" t="s">
        <v>286</v>
      </c>
      <c r="H145" s="142" t="s">
        <v>285</v>
      </c>
      <c r="I145" s="143">
        <f>I113</f>
        <v>81.3888888888889</v>
      </c>
      <c r="J145" s="77">
        <f t="shared" si="3"/>
        <v>81.3888888888889</v>
      </c>
      <c r="K145" s="139"/>
      <c r="L145" s="140" t="s">
        <v>287</v>
      </c>
    </row>
    <row r="146" spans="2:27" ht="13.2">
      <c r="B146" s="139"/>
      <c r="C146" s="140" t="str">
        <f>C145</f>
        <v>FLO_SUB</v>
      </c>
      <c r="D146" s="141">
        <f>D145+9</f>
        <v>2024</v>
      </c>
      <c r="E146" s="141" t="str">
        <f>E145</f>
        <v>ELE</v>
      </c>
      <c r="F146" s="139" t="str">
        <f>F145</f>
        <v>ERWAV115N</v>
      </c>
      <c r="G146" s="140" t="s">
        <v>286</v>
      </c>
      <c r="H146" s="142" t="str">
        <f>H145</f>
        <v>MKr15</v>
      </c>
      <c r="I146" s="143">
        <f t="shared" ref="I146:I176" si="8">I114</f>
        <v>67.738888888888894</v>
      </c>
      <c r="J146" s="77">
        <f t="shared" si="3"/>
        <v>67.738888888888894</v>
      </c>
      <c r="K146" s="139"/>
      <c r="L146" s="140" t="s">
        <v>287</v>
      </c>
    </row>
    <row r="147" spans="2:27" ht="13.2">
      <c r="B147" s="139"/>
      <c r="C147" s="140" t="s">
        <v>48</v>
      </c>
      <c r="D147" s="141">
        <f>D146+1</f>
        <v>2025</v>
      </c>
      <c r="E147" s="141" t="s">
        <v>219</v>
      </c>
      <c r="F147" s="139" t="str">
        <f>F145</f>
        <v>ERWAV115N</v>
      </c>
      <c r="G147" s="140" t="s">
        <v>286</v>
      </c>
      <c r="H147" s="142" t="str">
        <f t="shared" ref="H147:H148" si="9">H146</f>
        <v>MKr15</v>
      </c>
      <c r="I147" s="143">
        <f t="shared" si="8"/>
        <v>10.666666666666677</v>
      </c>
      <c r="J147" s="77">
        <f t="shared" si="3"/>
        <v>10.666666666666677</v>
      </c>
      <c r="K147" s="139"/>
      <c r="L147" s="140" t="s">
        <v>287</v>
      </c>
      <c r="M147" s="10" t="s">
        <v>278</v>
      </c>
    </row>
    <row r="148" spans="2:27" ht="13.2">
      <c r="B148" s="139"/>
      <c r="C148" s="140" t="str">
        <f>C147</f>
        <v>FLO_SUB</v>
      </c>
      <c r="D148" s="141">
        <f>D146+10</f>
        <v>2034</v>
      </c>
      <c r="E148" s="141" t="str">
        <f>E147</f>
        <v>ELE</v>
      </c>
      <c r="F148" s="139" t="str">
        <f>F147</f>
        <v>ERWAV115N</v>
      </c>
      <c r="G148" s="140" t="s">
        <v>286</v>
      </c>
      <c r="H148" s="142" t="str">
        <f t="shared" si="9"/>
        <v>MKr15</v>
      </c>
      <c r="I148" s="143">
        <f t="shared" si="8"/>
        <v>4.6000000000000085</v>
      </c>
      <c r="J148" s="77">
        <f t="shared" si="3"/>
        <v>4.6000000000000085</v>
      </c>
      <c r="K148" s="139"/>
      <c r="L148" s="140" t="s">
        <v>287</v>
      </c>
    </row>
    <row r="149" spans="2:27" ht="13.2">
      <c r="B149" s="144"/>
      <c r="C149" s="144" t="s">
        <v>48</v>
      </c>
      <c r="D149" s="145">
        <f>D148+1</f>
        <v>2035</v>
      </c>
      <c r="E149" s="145" t="s">
        <v>219</v>
      </c>
      <c r="F149" s="144" t="str">
        <f>F147</f>
        <v>ERWAV115N</v>
      </c>
      <c r="G149" s="144" t="s">
        <v>286</v>
      </c>
      <c r="H149" s="146" t="s">
        <v>285</v>
      </c>
      <c r="I149" s="144">
        <f t="shared" si="8"/>
        <v>0</v>
      </c>
      <c r="J149" s="77">
        <f t="shared" si="3"/>
        <v>0</v>
      </c>
      <c r="K149" s="144"/>
      <c r="L149" s="144" t="s">
        <v>287</v>
      </c>
    </row>
    <row r="150" spans="2:27" ht="13.2">
      <c r="B150" s="139"/>
      <c r="C150" s="140" t="s">
        <v>48</v>
      </c>
      <c r="D150" s="141">
        <f>$B$187</f>
        <v>2020</v>
      </c>
      <c r="E150" s="141" t="s">
        <v>219</v>
      </c>
      <c r="F150" s="140" t="str">
        <f>F187</f>
        <v>ERWAV120N</v>
      </c>
      <c r="G150" s="140" t="s">
        <v>286</v>
      </c>
      <c r="H150" s="142" t="s">
        <v>285</v>
      </c>
      <c r="I150" s="143">
        <f t="shared" si="8"/>
        <v>0</v>
      </c>
      <c r="J150" s="77">
        <f t="shared" si="3"/>
        <v>0</v>
      </c>
      <c r="K150" s="139"/>
      <c r="L150" s="140" t="s">
        <v>287</v>
      </c>
    </row>
    <row r="151" spans="2:27" ht="13.2">
      <c r="B151" s="139"/>
      <c r="C151" s="140" t="str">
        <f>C150</f>
        <v>FLO_SUB</v>
      </c>
      <c r="D151" s="141">
        <f>D150+9</f>
        <v>2029</v>
      </c>
      <c r="E151" s="141" t="str">
        <f>E150</f>
        <v>ELE</v>
      </c>
      <c r="F151" s="140" t="str">
        <f>F150</f>
        <v>ERWAV120N</v>
      </c>
      <c r="G151" s="140" t="s">
        <v>286</v>
      </c>
      <c r="H151" s="142" t="str">
        <f>H150</f>
        <v>MKr15</v>
      </c>
      <c r="I151" s="143">
        <f t="shared" si="8"/>
        <v>0</v>
      </c>
      <c r="J151" s="77">
        <f t="shared" si="3"/>
        <v>0</v>
      </c>
      <c r="K151" s="139"/>
      <c r="L151" s="140" t="s">
        <v>287</v>
      </c>
    </row>
    <row r="152" spans="2:27" ht="13.2">
      <c r="B152" s="139"/>
      <c r="C152" s="140" t="s">
        <v>48</v>
      </c>
      <c r="D152" s="141">
        <f>D151+1</f>
        <v>2030</v>
      </c>
      <c r="E152" s="141" t="s">
        <v>219</v>
      </c>
      <c r="F152" s="139" t="str">
        <f>F150</f>
        <v>ERWAV120N</v>
      </c>
      <c r="G152" s="140" t="s">
        <v>286</v>
      </c>
      <c r="H152" s="142" t="str">
        <f t="shared" ref="H152:H153" si="10">H151</f>
        <v>MKr15</v>
      </c>
      <c r="I152" s="143">
        <f t="shared" si="8"/>
        <v>0</v>
      </c>
      <c r="J152" s="77">
        <f t="shared" si="3"/>
        <v>0</v>
      </c>
      <c r="K152" s="139"/>
      <c r="L152" s="140" t="s">
        <v>287</v>
      </c>
      <c r="M152" s="10" t="s">
        <v>278</v>
      </c>
    </row>
    <row r="153" spans="2:27" ht="13.2">
      <c r="B153" s="139"/>
      <c r="C153" s="140" t="str">
        <f>C152</f>
        <v>FLO_SUB</v>
      </c>
      <c r="D153" s="141">
        <f>D151+10</f>
        <v>2039</v>
      </c>
      <c r="E153" s="141" t="str">
        <f>E152</f>
        <v>ELE</v>
      </c>
      <c r="F153" s="140" t="str">
        <f>F152</f>
        <v>ERWAV120N</v>
      </c>
      <c r="G153" s="140" t="s">
        <v>286</v>
      </c>
      <c r="H153" s="142" t="str">
        <f t="shared" si="10"/>
        <v>MKr15</v>
      </c>
      <c r="I153" s="143">
        <f t="shared" si="8"/>
        <v>0</v>
      </c>
      <c r="J153" s="77">
        <f t="shared" si="3"/>
        <v>0</v>
      </c>
      <c r="K153" s="139"/>
      <c r="L153" s="140" t="s">
        <v>287</v>
      </c>
    </row>
    <row r="154" spans="2:27" ht="13.2">
      <c r="B154" s="144"/>
      <c r="C154" s="144" t="s">
        <v>48</v>
      </c>
      <c r="D154" s="145">
        <f>D153+1</f>
        <v>2040</v>
      </c>
      <c r="E154" s="145" t="s">
        <v>219</v>
      </c>
      <c r="F154" s="144" t="str">
        <f>F152</f>
        <v>ERWAV120N</v>
      </c>
      <c r="G154" s="144" t="s">
        <v>286</v>
      </c>
      <c r="H154" s="146" t="s">
        <v>285</v>
      </c>
      <c r="I154" s="147">
        <f t="shared" si="8"/>
        <v>0</v>
      </c>
      <c r="J154" s="77">
        <f t="shared" si="3"/>
        <v>0</v>
      </c>
      <c r="K154" s="144"/>
      <c r="L154" s="144" t="s">
        <v>287</v>
      </c>
      <c r="V154" s="13"/>
      <c r="W154" s="13"/>
      <c r="X154" s="13"/>
      <c r="Y154" s="13"/>
      <c r="Z154" s="13"/>
      <c r="AA154" s="13"/>
    </row>
    <row r="155" spans="2:27" ht="13.2">
      <c r="B155" s="140"/>
      <c r="C155" s="140" t="s">
        <v>48</v>
      </c>
      <c r="D155" s="141">
        <f>$B$188</f>
        <v>2025</v>
      </c>
      <c r="E155" s="141" t="s">
        <v>219</v>
      </c>
      <c r="F155" s="140" t="str">
        <f>F188</f>
        <v>ERWAV125N</v>
      </c>
      <c r="G155" s="140" t="s">
        <v>286</v>
      </c>
      <c r="H155" s="142" t="s">
        <v>285</v>
      </c>
      <c r="I155" s="148">
        <f t="shared" si="8"/>
        <v>0</v>
      </c>
      <c r="J155" s="77">
        <f t="shared" si="3"/>
        <v>0</v>
      </c>
      <c r="K155" s="139"/>
      <c r="L155" s="140" t="s">
        <v>287</v>
      </c>
    </row>
    <row r="156" spans="2:27" ht="13.2">
      <c r="B156" s="140"/>
      <c r="C156" s="140" t="str">
        <f>C155</f>
        <v>FLO_SUB</v>
      </c>
      <c r="D156" s="141">
        <f>D155+9</f>
        <v>2034</v>
      </c>
      <c r="E156" s="141" t="str">
        <f>E155</f>
        <v>ELE</v>
      </c>
      <c r="F156" s="140" t="str">
        <f>F155</f>
        <v>ERWAV125N</v>
      </c>
      <c r="G156" s="140" t="s">
        <v>286</v>
      </c>
      <c r="H156" s="142" t="str">
        <f>H155</f>
        <v>MKr15</v>
      </c>
      <c r="I156" s="143">
        <f t="shared" si="8"/>
        <v>0</v>
      </c>
      <c r="J156" s="77">
        <f t="shared" si="3"/>
        <v>0</v>
      </c>
      <c r="K156" s="139"/>
      <c r="L156" s="140" t="s">
        <v>287</v>
      </c>
    </row>
    <row r="157" spans="2:27" ht="13.2">
      <c r="B157" s="140"/>
      <c r="C157" s="140" t="s">
        <v>48</v>
      </c>
      <c r="D157" s="141">
        <f>D156+1</f>
        <v>2035</v>
      </c>
      <c r="E157" s="141" t="s">
        <v>219</v>
      </c>
      <c r="F157" s="140" t="str">
        <f>F155</f>
        <v>ERWAV125N</v>
      </c>
      <c r="G157" s="140" t="s">
        <v>286</v>
      </c>
      <c r="H157" s="142" t="str">
        <f t="shared" ref="H157:H158" si="11">H156</f>
        <v>MKr15</v>
      </c>
      <c r="I157" s="148">
        <f t="shared" si="8"/>
        <v>0</v>
      </c>
      <c r="J157" s="77">
        <f t="shared" si="3"/>
        <v>0</v>
      </c>
      <c r="K157" s="140"/>
      <c r="L157" s="140" t="s">
        <v>287</v>
      </c>
      <c r="M157" s="10" t="s">
        <v>278</v>
      </c>
    </row>
    <row r="158" spans="2:27" ht="13.2">
      <c r="B158" s="140"/>
      <c r="C158" s="140" t="str">
        <f>C157</f>
        <v>FLO_SUB</v>
      </c>
      <c r="D158" s="141">
        <f>D156+10</f>
        <v>2044</v>
      </c>
      <c r="E158" s="141" t="str">
        <f>E157</f>
        <v>ELE</v>
      </c>
      <c r="F158" s="140" t="str">
        <f>F157</f>
        <v>ERWAV125N</v>
      </c>
      <c r="G158" s="140" t="s">
        <v>286</v>
      </c>
      <c r="H158" s="142" t="str">
        <f t="shared" si="11"/>
        <v>MKr15</v>
      </c>
      <c r="I158" s="143">
        <f t="shared" si="8"/>
        <v>0</v>
      </c>
      <c r="J158" s="77">
        <f t="shared" si="3"/>
        <v>0</v>
      </c>
      <c r="K158" s="139"/>
      <c r="L158" s="140" t="s">
        <v>287</v>
      </c>
    </row>
    <row r="159" spans="2:27" ht="13.2">
      <c r="B159" s="144"/>
      <c r="C159" s="144" t="s">
        <v>48</v>
      </c>
      <c r="D159" s="145">
        <f>D158+1</f>
        <v>2045</v>
      </c>
      <c r="E159" s="145" t="s">
        <v>219</v>
      </c>
      <c r="F159" s="144" t="str">
        <f>F157</f>
        <v>ERWAV125N</v>
      </c>
      <c r="G159" s="144" t="s">
        <v>286</v>
      </c>
      <c r="H159" s="146" t="s">
        <v>285</v>
      </c>
      <c r="I159" s="147">
        <f t="shared" si="8"/>
        <v>0</v>
      </c>
      <c r="J159" s="77">
        <f t="shared" si="3"/>
        <v>0</v>
      </c>
      <c r="K159" s="144"/>
      <c r="L159" s="144" t="s">
        <v>287</v>
      </c>
    </row>
    <row r="160" spans="2:27" ht="13.2">
      <c r="B160" s="140"/>
      <c r="C160" s="140" t="s">
        <v>48</v>
      </c>
      <c r="D160" s="141">
        <f>$B$189</f>
        <v>2030</v>
      </c>
      <c r="E160" s="141" t="s">
        <v>219</v>
      </c>
      <c r="F160" s="140" t="str">
        <f>F189</f>
        <v>ERWAV130N</v>
      </c>
      <c r="G160" s="140" t="s">
        <v>286</v>
      </c>
      <c r="H160" s="142" t="s">
        <v>285</v>
      </c>
      <c r="I160" s="148">
        <f t="shared" si="8"/>
        <v>0</v>
      </c>
      <c r="J160" s="77">
        <f t="shared" si="3"/>
        <v>0</v>
      </c>
      <c r="K160" s="140"/>
      <c r="L160" s="140" t="s">
        <v>287</v>
      </c>
    </row>
    <row r="161" spans="2:13" ht="13.2">
      <c r="B161" s="140"/>
      <c r="C161" s="140" t="s">
        <v>48</v>
      </c>
      <c r="D161" s="141">
        <f>D160+9</f>
        <v>2039</v>
      </c>
      <c r="E161" s="141" t="s">
        <v>219</v>
      </c>
      <c r="F161" s="140" t="str">
        <f>F160</f>
        <v>ERWAV130N</v>
      </c>
      <c r="G161" s="140" t="s">
        <v>286</v>
      </c>
      <c r="H161" s="142" t="s">
        <v>285</v>
      </c>
      <c r="I161" s="143">
        <f t="shared" si="8"/>
        <v>0</v>
      </c>
      <c r="J161" s="77">
        <f t="shared" si="3"/>
        <v>0</v>
      </c>
      <c r="K161" s="140"/>
      <c r="L161" s="140" t="s">
        <v>287</v>
      </c>
    </row>
    <row r="162" spans="2:13" ht="13.2">
      <c r="B162" s="140"/>
      <c r="C162" s="140" t="s">
        <v>48</v>
      </c>
      <c r="D162" s="141">
        <f>D161+1</f>
        <v>2040</v>
      </c>
      <c r="E162" s="141" t="s">
        <v>219</v>
      </c>
      <c r="F162" s="140" t="str">
        <f>F161</f>
        <v>ERWAV130N</v>
      </c>
      <c r="G162" s="140" t="s">
        <v>286</v>
      </c>
      <c r="H162" s="142" t="s">
        <v>285</v>
      </c>
      <c r="I162" s="148">
        <f t="shared" si="8"/>
        <v>0</v>
      </c>
      <c r="J162" s="77">
        <f t="shared" si="3"/>
        <v>0</v>
      </c>
      <c r="K162" s="140"/>
      <c r="L162" s="140" t="s">
        <v>287</v>
      </c>
      <c r="M162" s="10" t="s">
        <v>278</v>
      </c>
    </row>
    <row r="163" spans="2:13" ht="13.2">
      <c r="B163" s="144"/>
      <c r="C163" s="144" t="s">
        <v>48</v>
      </c>
      <c r="D163" s="145">
        <v>2050</v>
      </c>
      <c r="E163" s="145" t="s">
        <v>219</v>
      </c>
      <c r="F163" s="144" t="str">
        <f>F160</f>
        <v>ERWAV130N</v>
      </c>
      <c r="G163" s="144" t="s">
        <v>286</v>
      </c>
      <c r="H163" s="146" t="s">
        <v>285</v>
      </c>
      <c r="I163" s="147">
        <f t="shared" si="8"/>
        <v>0</v>
      </c>
      <c r="J163" s="77">
        <f t="shared" si="3"/>
        <v>0</v>
      </c>
      <c r="K163" s="144"/>
      <c r="L163" s="144" t="s">
        <v>287</v>
      </c>
    </row>
    <row r="164" spans="2:13" ht="13.2">
      <c r="B164" s="140"/>
      <c r="C164" s="140" t="s">
        <v>48</v>
      </c>
      <c r="D164" s="141">
        <v>2035</v>
      </c>
      <c r="E164" s="141" t="s">
        <v>219</v>
      </c>
      <c r="F164" s="140" t="str">
        <f>F190</f>
        <v>ERWAV135N</v>
      </c>
      <c r="G164" s="140" t="s">
        <v>286</v>
      </c>
      <c r="H164" s="142" t="s">
        <v>285</v>
      </c>
      <c r="I164" s="148">
        <f t="shared" si="8"/>
        <v>0</v>
      </c>
      <c r="J164" s="77">
        <f t="shared" si="3"/>
        <v>0</v>
      </c>
      <c r="K164" s="140"/>
      <c r="L164" s="140" t="s">
        <v>287</v>
      </c>
    </row>
    <row r="165" spans="2:13" ht="13.2">
      <c r="B165" s="140"/>
      <c r="C165" s="140" t="s">
        <v>48</v>
      </c>
      <c r="D165" s="141">
        <f>D164+9</f>
        <v>2044</v>
      </c>
      <c r="E165" s="141" t="s">
        <v>219</v>
      </c>
      <c r="F165" s="140" t="str">
        <f>F164</f>
        <v>ERWAV135N</v>
      </c>
      <c r="G165" s="140" t="s">
        <v>286</v>
      </c>
      <c r="H165" s="142" t="s">
        <v>285</v>
      </c>
      <c r="I165" s="143">
        <f t="shared" si="8"/>
        <v>0</v>
      </c>
      <c r="J165" s="77">
        <f t="shared" si="3"/>
        <v>0</v>
      </c>
      <c r="K165" s="140"/>
      <c r="L165" s="140" t="s">
        <v>287</v>
      </c>
    </row>
    <row r="166" spans="2:13" ht="13.2">
      <c r="B166" s="140"/>
      <c r="C166" s="140" t="s">
        <v>48</v>
      </c>
      <c r="D166" s="141">
        <f>D165+1</f>
        <v>2045</v>
      </c>
      <c r="E166" s="141" t="s">
        <v>219</v>
      </c>
      <c r="F166" s="140" t="str">
        <f>F165</f>
        <v>ERWAV135N</v>
      </c>
      <c r="G166" s="140" t="s">
        <v>286</v>
      </c>
      <c r="H166" s="142" t="s">
        <v>285</v>
      </c>
      <c r="I166" s="148">
        <f t="shared" si="8"/>
        <v>0</v>
      </c>
      <c r="J166" s="77">
        <f t="shared" si="3"/>
        <v>0</v>
      </c>
      <c r="K166" s="140"/>
      <c r="L166" s="140" t="s">
        <v>287</v>
      </c>
      <c r="M166" s="10" t="s">
        <v>278</v>
      </c>
    </row>
    <row r="167" spans="2:13" ht="13.2">
      <c r="B167" s="144"/>
      <c r="C167" s="144" t="s">
        <v>48</v>
      </c>
      <c r="D167" s="145">
        <v>2050</v>
      </c>
      <c r="E167" s="145" t="s">
        <v>219</v>
      </c>
      <c r="F167" s="144" t="str">
        <f>F164</f>
        <v>ERWAV135N</v>
      </c>
      <c r="G167" s="144" t="s">
        <v>286</v>
      </c>
      <c r="H167" s="146" t="s">
        <v>285</v>
      </c>
      <c r="I167" s="147">
        <f t="shared" si="8"/>
        <v>0</v>
      </c>
      <c r="J167" s="77">
        <f t="shared" si="3"/>
        <v>0</v>
      </c>
      <c r="K167" s="144"/>
      <c r="L167" s="144" t="s">
        <v>287</v>
      </c>
    </row>
    <row r="168" spans="2:13" ht="13.2">
      <c r="B168" s="140"/>
      <c r="C168" s="140" t="s">
        <v>48</v>
      </c>
      <c r="D168" s="141">
        <v>2040</v>
      </c>
      <c r="E168" s="141" t="s">
        <v>219</v>
      </c>
      <c r="F168" s="140" t="str">
        <f>F191</f>
        <v>ERWAV140N</v>
      </c>
      <c r="G168" s="140" t="s">
        <v>286</v>
      </c>
      <c r="H168" s="142" t="s">
        <v>285</v>
      </c>
      <c r="I168" s="148">
        <f t="shared" si="8"/>
        <v>0</v>
      </c>
      <c r="J168" s="77">
        <f t="shared" si="3"/>
        <v>0</v>
      </c>
      <c r="K168" s="140"/>
      <c r="L168" s="140" t="s">
        <v>287</v>
      </c>
    </row>
    <row r="169" spans="2:13" ht="13.2">
      <c r="B169" s="140"/>
      <c r="C169" s="140" t="s">
        <v>48</v>
      </c>
      <c r="D169" s="141">
        <f>D168+9</f>
        <v>2049</v>
      </c>
      <c r="E169" s="141" t="s">
        <v>219</v>
      </c>
      <c r="F169" s="140" t="str">
        <f>F168</f>
        <v>ERWAV140N</v>
      </c>
      <c r="G169" s="140" t="s">
        <v>286</v>
      </c>
      <c r="H169" s="142" t="s">
        <v>285</v>
      </c>
      <c r="I169" s="143">
        <f t="shared" si="8"/>
        <v>0</v>
      </c>
      <c r="J169" s="77">
        <f t="shared" si="3"/>
        <v>0</v>
      </c>
      <c r="K169" s="140"/>
      <c r="L169" s="140" t="s">
        <v>287</v>
      </c>
    </row>
    <row r="170" spans="2:13" ht="13.2">
      <c r="B170" s="140"/>
      <c r="C170" s="140" t="s">
        <v>48</v>
      </c>
      <c r="D170" s="141">
        <f>D169+1</f>
        <v>2050</v>
      </c>
      <c r="E170" s="141" t="s">
        <v>219</v>
      </c>
      <c r="F170" s="140" t="str">
        <f>F169</f>
        <v>ERWAV140N</v>
      </c>
      <c r="G170" s="140" t="s">
        <v>286</v>
      </c>
      <c r="H170" s="142" t="s">
        <v>285</v>
      </c>
      <c r="I170" s="148">
        <f t="shared" si="8"/>
        <v>0</v>
      </c>
      <c r="J170" s="77">
        <f t="shared" ref="J170:J176" si="12">I170</f>
        <v>0</v>
      </c>
      <c r="K170" s="140"/>
      <c r="L170" s="140" t="s">
        <v>287</v>
      </c>
      <c r="M170" s="10" t="s">
        <v>278</v>
      </c>
    </row>
    <row r="171" spans="2:13" ht="13.2">
      <c r="B171" s="144"/>
      <c r="C171" s="144" t="s">
        <v>48</v>
      </c>
      <c r="D171" s="145">
        <f>D170+1</f>
        <v>2051</v>
      </c>
      <c r="E171" s="145" t="s">
        <v>219</v>
      </c>
      <c r="F171" s="144" t="str">
        <f>F168</f>
        <v>ERWAV140N</v>
      </c>
      <c r="G171" s="144" t="s">
        <v>286</v>
      </c>
      <c r="H171" s="146" t="s">
        <v>285</v>
      </c>
      <c r="I171" s="147">
        <f t="shared" si="8"/>
        <v>0</v>
      </c>
      <c r="J171" s="77">
        <f t="shared" si="12"/>
        <v>0</v>
      </c>
      <c r="K171" s="144"/>
      <c r="L171" s="144" t="s">
        <v>287</v>
      </c>
    </row>
    <row r="172" spans="2:13" ht="13.2">
      <c r="B172" s="140"/>
      <c r="C172" s="140" t="s">
        <v>48</v>
      </c>
      <c r="D172" s="141">
        <v>2045</v>
      </c>
      <c r="E172" s="141" t="s">
        <v>219</v>
      </c>
      <c r="F172" s="140" t="str">
        <f>F192</f>
        <v>ERWAV145N</v>
      </c>
      <c r="G172" s="140" t="s">
        <v>286</v>
      </c>
      <c r="H172" s="142" t="s">
        <v>285</v>
      </c>
      <c r="I172" s="148">
        <f t="shared" si="8"/>
        <v>0</v>
      </c>
      <c r="J172" s="77">
        <f t="shared" si="12"/>
        <v>0</v>
      </c>
      <c r="K172" s="140"/>
      <c r="L172" s="140" t="s">
        <v>287</v>
      </c>
    </row>
    <row r="173" spans="2:13" ht="13.2">
      <c r="B173" s="140"/>
      <c r="C173" s="140" t="s">
        <v>48</v>
      </c>
      <c r="D173" s="141">
        <v>2050</v>
      </c>
      <c r="E173" s="141" t="s">
        <v>219</v>
      </c>
      <c r="F173" s="140" t="str">
        <f>F172</f>
        <v>ERWAV145N</v>
      </c>
      <c r="G173" s="140" t="s">
        <v>286</v>
      </c>
      <c r="H173" s="142" t="s">
        <v>285</v>
      </c>
      <c r="I173" s="143">
        <f t="shared" si="8"/>
        <v>0</v>
      </c>
      <c r="J173" s="77">
        <f t="shared" si="12"/>
        <v>0</v>
      </c>
      <c r="K173" s="140"/>
      <c r="L173" s="140" t="s">
        <v>287</v>
      </c>
    </row>
    <row r="174" spans="2:13" ht="13.2">
      <c r="B174" s="140"/>
      <c r="C174" s="140" t="s">
        <v>48</v>
      </c>
      <c r="D174" s="141">
        <f>D173+1</f>
        <v>2051</v>
      </c>
      <c r="E174" s="141" t="s">
        <v>219</v>
      </c>
      <c r="F174" s="140" t="str">
        <f>F173</f>
        <v>ERWAV145N</v>
      </c>
      <c r="G174" s="140" t="s">
        <v>286</v>
      </c>
      <c r="H174" s="142" t="s">
        <v>285</v>
      </c>
      <c r="I174" s="148">
        <f t="shared" si="8"/>
        <v>0</v>
      </c>
      <c r="J174" s="77">
        <f t="shared" si="12"/>
        <v>0</v>
      </c>
      <c r="K174" s="140"/>
      <c r="L174" s="140" t="s">
        <v>287</v>
      </c>
      <c r="M174" s="10" t="s">
        <v>278</v>
      </c>
    </row>
    <row r="175" spans="2:13" ht="13.2">
      <c r="B175" s="144"/>
      <c r="C175" s="144" t="s">
        <v>48</v>
      </c>
      <c r="D175" s="145">
        <f>D174+1</f>
        <v>2052</v>
      </c>
      <c r="E175" s="145" t="s">
        <v>219</v>
      </c>
      <c r="F175" s="144" t="str">
        <f>F172</f>
        <v>ERWAV145N</v>
      </c>
      <c r="G175" s="144" t="s">
        <v>286</v>
      </c>
      <c r="H175" s="146" t="s">
        <v>285</v>
      </c>
      <c r="I175" s="147">
        <f t="shared" si="8"/>
        <v>0</v>
      </c>
      <c r="J175" s="77">
        <f t="shared" si="12"/>
        <v>0</v>
      </c>
      <c r="K175" s="144"/>
      <c r="L175" s="144" t="s">
        <v>287</v>
      </c>
    </row>
    <row r="176" spans="2:13" ht="13.8" thickBot="1">
      <c r="B176" s="180"/>
      <c r="C176" s="180" t="s">
        <v>48</v>
      </c>
      <c r="D176" s="181">
        <f>$B$193</f>
        <v>2050</v>
      </c>
      <c r="E176" s="181" t="s">
        <v>219</v>
      </c>
      <c r="F176" s="180" t="str">
        <f>F193</f>
        <v>ERWAV150N</v>
      </c>
      <c r="G176" s="180" t="s">
        <v>286</v>
      </c>
      <c r="H176" s="182" t="s">
        <v>285</v>
      </c>
      <c r="I176" s="183">
        <f t="shared" si="8"/>
        <v>0</v>
      </c>
      <c r="J176" s="77">
        <f t="shared" si="12"/>
        <v>0</v>
      </c>
      <c r="K176" s="180"/>
      <c r="L176" s="180" t="s">
        <v>287</v>
      </c>
    </row>
    <row r="181" spans="2:15">
      <c r="B181" t="s">
        <v>275</v>
      </c>
      <c r="G181" s="102" t="s">
        <v>276</v>
      </c>
      <c r="H181" s="17">
        <v>42573</v>
      </c>
    </row>
    <row r="182" spans="2:15">
      <c r="B182" s="13" t="s">
        <v>264</v>
      </c>
    </row>
    <row r="183" spans="2:15">
      <c r="B183" s="13" t="s">
        <v>258</v>
      </c>
    </row>
    <row r="184" spans="2:15">
      <c r="B184">
        <v>2010</v>
      </c>
      <c r="C184" t="s">
        <v>246</v>
      </c>
      <c r="D184" t="s">
        <v>245</v>
      </c>
      <c r="E184" t="s">
        <v>247</v>
      </c>
    </row>
    <row r="185" spans="2:15">
      <c r="B185">
        <v>2012</v>
      </c>
      <c r="I185" t="s">
        <v>315</v>
      </c>
      <c r="L185" t="s">
        <v>316</v>
      </c>
      <c r="N185" t="s">
        <v>317</v>
      </c>
    </row>
    <row r="186" spans="2:15">
      <c r="B186">
        <v>2015</v>
      </c>
      <c r="C186" t="s">
        <v>225</v>
      </c>
      <c r="D186" t="s">
        <v>229</v>
      </c>
      <c r="E186" t="s">
        <v>233</v>
      </c>
      <c r="F186" t="s">
        <v>288</v>
      </c>
      <c r="G186" t="s">
        <v>237</v>
      </c>
      <c r="H186" t="s">
        <v>241</v>
      </c>
      <c r="I186" t="s">
        <v>318</v>
      </c>
      <c r="N186" t="s">
        <v>319</v>
      </c>
    </row>
    <row r="187" spans="2:15">
      <c r="B187">
        <v>2020</v>
      </c>
      <c r="C187" t="s">
        <v>226</v>
      </c>
      <c r="D187" t="s">
        <v>230</v>
      </c>
      <c r="E187" t="s">
        <v>234</v>
      </c>
      <c r="F187" t="s">
        <v>289</v>
      </c>
      <c r="G187" t="s">
        <v>238</v>
      </c>
      <c r="H187" t="s">
        <v>242</v>
      </c>
      <c r="I187" t="s">
        <v>253</v>
      </c>
      <c r="K187" t="s">
        <v>250</v>
      </c>
      <c r="L187" t="s">
        <v>248</v>
      </c>
      <c r="M187" t="s">
        <v>251</v>
      </c>
      <c r="N187" t="s">
        <v>249</v>
      </c>
      <c r="O187" t="s">
        <v>252</v>
      </c>
    </row>
    <row r="188" spans="2:15">
      <c r="B188">
        <v>2025</v>
      </c>
      <c r="C188" t="s">
        <v>320</v>
      </c>
      <c r="D188" t="s">
        <v>321</v>
      </c>
      <c r="E188" t="s">
        <v>322</v>
      </c>
      <c r="F188" t="s">
        <v>290</v>
      </c>
      <c r="G188" t="s">
        <v>323</v>
      </c>
      <c r="H188" t="s">
        <v>324</v>
      </c>
      <c r="I188" t="s">
        <v>257</v>
      </c>
      <c r="K188" t="s">
        <v>255</v>
      </c>
      <c r="N188" t="s">
        <v>254</v>
      </c>
      <c r="O188" t="s">
        <v>256</v>
      </c>
    </row>
    <row r="189" spans="2:15">
      <c r="B189">
        <v>2030</v>
      </c>
      <c r="C189" t="s">
        <v>227</v>
      </c>
      <c r="D189" t="s">
        <v>231</v>
      </c>
      <c r="E189" t="s">
        <v>235</v>
      </c>
      <c r="F189" t="s">
        <v>291</v>
      </c>
      <c r="G189" t="s">
        <v>239</v>
      </c>
      <c r="H189" t="s">
        <v>243</v>
      </c>
    </row>
    <row r="190" spans="2:15">
      <c r="B190">
        <v>2035</v>
      </c>
      <c r="C190" t="s">
        <v>309</v>
      </c>
      <c r="D190" t="s">
        <v>312</v>
      </c>
      <c r="E190" t="s">
        <v>325</v>
      </c>
      <c r="F190" t="s">
        <v>326</v>
      </c>
      <c r="G190" t="s">
        <v>327</v>
      </c>
      <c r="H190" t="s">
        <v>328</v>
      </c>
    </row>
    <row r="191" spans="2:15">
      <c r="B191">
        <v>2040</v>
      </c>
      <c r="C191" t="s">
        <v>310</v>
      </c>
      <c r="D191" t="s">
        <v>313</v>
      </c>
      <c r="E191" t="s">
        <v>329</v>
      </c>
      <c r="F191" t="s">
        <v>330</v>
      </c>
      <c r="G191" t="s">
        <v>331</v>
      </c>
      <c r="H191" t="s">
        <v>332</v>
      </c>
    </row>
    <row r="192" spans="2:15">
      <c r="B192">
        <v>2045</v>
      </c>
      <c r="C192" t="s">
        <v>311</v>
      </c>
      <c r="D192" t="s">
        <v>314</v>
      </c>
      <c r="E192" t="s">
        <v>333</v>
      </c>
      <c r="F192" t="s">
        <v>334</v>
      </c>
      <c r="G192" t="s">
        <v>335</v>
      </c>
      <c r="H192" t="s">
        <v>336</v>
      </c>
    </row>
    <row r="193" spans="2:8">
      <c r="B193">
        <v>2050</v>
      </c>
      <c r="C193" t="s">
        <v>228</v>
      </c>
      <c r="D193" t="s">
        <v>232</v>
      </c>
      <c r="E193" t="s">
        <v>236</v>
      </c>
      <c r="F193" t="s">
        <v>292</v>
      </c>
      <c r="G193" t="s">
        <v>240</v>
      </c>
      <c r="H193" t="s">
        <v>244</v>
      </c>
    </row>
  </sheetData>
  <mergeCells count="2">
    <mergeCell ref="C7:D7"/>
    <mergeCell ref="H7:K7"/>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2:AA128"/>
  <sheetViews>
    <sheetView workbookViewId="0">
      <selection activeCell="E48" sqref="E48"/>
    </sheetView>
  </sheetViews>
  <sheetFormatPr defaultRowHeight="12.6"/>
  <cols>
    <col min="2" max="2" width="10.6640625" customWidth="1"/>
    <col min="6" max="6" width="16" customWidth="1"/>
    <col min="8" max="8" width="10.109375" bestFit="1" customWidth="1"/>
    <col min="9" max="10" width="11.109375" customWidth="1"/>
    <col min="12" max="12" width="10.88671875" customWidth="1"/>
    <col min="13" max="13" width="11.33203125" customWidth="1"/>
    <col min="14" max="14" width="3.88671875" customWidth="1"/>
    <col min="15" max="15" width="5.88671875" customWidth="1"/>
    <col min="16" max="16" width="12.6640625" customWidth="1"/>
    <col min="17" max="24" width="19.5546875" customWidth="1"/>
    <col min="25" max="25" width="14.6640625" customWidth="1"/>
    <col min="26" max="28" width="19.5546875" customWidth="1"/>
  </cols>
  <sheetData>
    <row r="2" spans="1:26" ht="23.4">
      <c r="B2" s="25" t="s">
        <v>338</v>
      </c>
    </row>
    <row r="5" spans="1:26">
      <c r="B5" s="40" t="s">
        <v>218</v>
      </c>
      <c r="C5" s="40"/>
      <c r="D5" s="40"/>
      <c r="E5" s="40"/>
      <c r="F5" s="40"/>
      <c r="G5" s="40"/>
      <c r="H5" s="40"/>
      <c r="I5" s="40"/>
      <c r="J5" s="40"/>
      <c r="K5" s="40"/>
      <c r="L5" s="40"/>
      <c r="M5" s="40"/>
      <c r="N5" s="40"/>
      <c r="O5" s="40"/>
      <c r="P5" s="40"/>
      <c r="Q5" s="40"/>
      <c r="R5" s="40"/>
      <c r="S5" s="40"/>
      <c r="T5" s="40"/>
      <c r="U5" s="40"/>
      <c r="V5" s="40"/>
      <c r="W5" s="40"/>
      <c r="X5" s="40"/>
      <c r="Y5" s="40"/>
      <c r="Z5" s="40"/>
    </row>
    <row r="6" spans="1:26">
      <c r="B6" s="40"/>
      <c r="C6" s="40"/>
      <c r="D6" s="40"/>
      <c r="E6" s="40"/>
      <c r="F6" s="40"/>
      <c r="G6" s="40"/>
      <c r="H6" s="40"/>
      <c r="I6" s="40"/>
      <c r="J6" s="40"/>
      <c r="K6" s="40"/>
      <c r="L6" s="40"/>
      <c r="M6" s="40"/>
      <c r="N6" s="40"/>
      <c r="O6" s="40"/>
      <c r="P6" s="40"/>
      <c r="Q6" s="40"/>
      <c r="R6" s="40"/>
      <c r="S6" s="40"/>
      <c r="T6" s="40"/>
      <c r="U6" s="40"/>
      <c r="V6" s="40"/>
      <c r="W6" s="40"/>
      <c r="X6" s="40"/>
      <c r="Y6" s="40"/>
      <c r="Z6" s="40"/>
    </row>
    <row r="7" spans="1:26" ht="15.6">
      <c r="B7" s="119" t="s">
        <v>1</v>
      </c>
      <c r="C7" s="389" t="s">
        <v>261</v>
      </c>
      <c r="D7" s="389"/>
      <c r="E7" s="101" t="s">
        <v>263</v>
      </c>
      <c r="F7" s="101"/>
      <c r="G7" s="119" t="s">
        <v>262</v>
      </c>
      <c r="H7" s="389" t="s">
        <v>265</v>
      </c>
      <c r="I7" s="389"/>
      <c r="J7" s="389"/>
      <c r="K7" s="389"/>
      <c r="L7" s="40"/>
      <c r="M7" s="40"/>
      <c r="N7" s="40"/>
      <c r="O7" s="40"/>
      <c r="P7" s="40"/>
      <c r="Q7" s="40"/>
      <c r="R7" s="40"/>
      <c r="S7" s="40"/>
      <c r="T7" s="40"/>
      <c r="U7" s="40"/>
      <c r="V7" s="40"/>
      <c r="W7" s="40"/>
      <c r="X7" s="40"/>
      <c r="Y7" s="40"/>
      <c r="Z7" s="40"/>
    </row>
    <row r="8" spans="1:26">
      <c r="B8" s="66">
        <v>2010</v>
      </c>
      <c r="C8" s="69">
        <f>((25+2.3)/3)*2+((10+2.3)/3)*1</f>
        <v>22.3</v>
      </c>
      <c r="D8" s="40" t="s">
        <v>152</v>
      </c>
      <c r="E8" s="68">
        <f>C8/0.0036/100</f>
        <v>61.94444444444445</v>
      </c>
      <c r="F8" s="40" t="s">
        <v>282</v>
      </c>
      <c r="G8" s="40" t="s">
        <v>259</v>
      </c>
      <c r="H8" s="67" t="s">
        <v>267</v>
      </c>
      <c r="I8" s="67"/>
      <c r="J8" s="67"/>
      <c r="K8" s="67"/>
      <c r="L8" s="67"/>
      <c r="M8" s="67"/>
      <c r="N8" s="67"/>
      <c r="O8" s="67"/>
      <c r="P8" s="67"/>
      <c r="Q8" s="67"/>
      <c r="R8" s="40"/>
      <c r="S8" s="40" t="s">
        <v>266</v>
      </c>
      <c r="T8" s="40"/>
      <c r="U8" s="40"/>
      <c r="V8" s="40"/>
      <c r="W8" s="40"/>
      <c r="X8" s="40"/>
      <c r="Y8" s="40"/>
      <c r="Z8" s="40"/>
    </row>
    <row r="9" spans="1:26">
      <c r="A9" s="14">
        <v>31.2</v>
      </c>
      <c r="B9" s="66">
        <v>2015</v>
      </c>
      <c r="C9" s="69">
        <f>((1.8)+25)/100*80</f>
        <v>21.44</v>
      </c>
      <c r="D9" s="40" t="s">
        <v>152</v>
      </c>
      <c r="E9" s="68">
        <f t="shared" ref="E9:E31" si="0">C9/0.0036/100</f>
        <v>59.555555555555557</v>
      </c>
      <c r="F9" s="40" t="s">
        <v>282</v>
      </c>
      <c r="G9" s="40" t="s">
        <v>259</v>
      </c>
      <c r="H9" s="67" t="s">
        <v>268</v>
      </c>
      <c r="I9" s="67"/>
      <c r="J9" s="67"/>
      <c r="K9" s="67"/>
      <c r="L9" s="40"/>
      <c r="M9" s="40"/>
      <c r="N9" s="40"/>
      <c r="O9" s="40"/>
      <c r="P9" s="40"/>
      <c r="Q9" s="40"/>
      <c r="R9" s="40"/>
      <c r="S9" s="40"/>
      <c r="T9" s="40"/>
      <c r="U9" s="40"/>
      <c r="V9" s="40"/>
      <c r="W9" s="40"/>
      <c r="X9" s="40"/>
      <c r="Y9" s="40"/>
      <c r="Z9" s="40"/>
    </row>
    <row r="10" spans="1:26">
      <c r="A10" s="14">
        <v>33.9</v>
      </c>
      <c r="B10" s="66">
        <v>2020</v>
      </c>
      <c r="C10" s="69">
        <f>((1.8)+25)/100*70</f>
        <v>18.760000000000002</v>
      </c>
      <c r="D10" s="40" t="s">
        <v>152</v>
      </c>
      <c r="E10" s="68">
        <f t="shared" si="0"/>
        <v>52.111111111111114</v>
      </c>
      <c r="F10" s="40" t="s">
        <v>282</v>
      </c>
      <c r="G10" s="40" t="s">
        <v>259</v>
      </c>
      <c r="H10" s="67" t="s">
        <v>269</v>
      </c>
      <c r="I10" s="67"/>
      <c r="J10" s="67"/>
      <c r="K10" s="67"/>
      <c r="L10" s="40"/>
      <c r="M10" s="40"/>
      <c r="N10" s="40"/>
      <c r="O10" s="40"/>
      <c r="P10" s="40"/>
      <c r="Q10" s="40"/>
      <c r="R10" s="40"/>
      <c r="S10" s="40"/>
      <c r="T10" s="40"/>
      <c r="U10" s="40"/>
      <c r="V10" s="40"/>
      <c r="W10" s="40"/>
      <c r="X10" s="40"/>
      <c r="Y10" s="40"/>
      <c r="Z10" s="40"/>
    </row>
    <row r="11" spans="1:26">
      <c r="A11" s="14">
        <v>36.6</v>
      </c>
      <c r="B11" s="66">
        <v>2025</v>
      </c>
      <c r="C11" s="69">
        <f>((1.8)+25)/100*60</f>
        <v>16.080000000000002</v>
      </c>
      <c r="D11" s="40" t="s">
        <v>152</v>
      </c>
      <c r="E11" s="68">
        <f t="shared" si="0"/>
        <v>44.666666666666671</v>
      </c>
      <c r="F11" s="40" t="s">
        <v>282</v>
      </c>
      <c r="G11" s="40" t="s">
        <v>259</v>
      </c>
      <c r="H11" s="67" t="s">
        <v>270</v>
      </c>
      <c r="I11" s="67"/>
      <c r="J11" s="67"/>
      <c r="K11" s="67"/>
      <c r="L11" s="40"/>
      <c r="M11" s="40"/>
      <c r="N11" s="40"/>
      <c r="O11" s="40"/>
      <c r="P11" s="40"/>
      <c r="Q11" s="40"/>
      <c r="R11" s="40"/>
      <c r="S11" s="40"/>
      <c r="T11" s="40"/>
      <c r="U11" s="40"/>
      <c r="V11" s="40"/>
      <c r="W11" s="40"/>
      <c r="X11" s="40"/>
      <c r="Y11" s="40"/>
      <c r="Z11" s="40"/>
    </row>
    <row r="12" spans="1:26">
      <c r="A12" s="14">
        <v>39.200000000000003</v>
      </c>
      <c r="B12" s="66">
        <v>2030</v>
      </c>
      <c r="C12" s="69">
        <f>((1.8)+25)/100*50</f>
        <v>13.4</v>
      </c>
      <c r="D12" s="40" t="s">
        <v>152</v>
      </c>
      <c r="E12" s="68">
        <f t="shared" si="0"/>
        <v>37.222222222222229</v>
      </c>
      <c r="F12" s="40" t="s">
        <v>282</v>
      </c>
      <c r="G12" s="40" t="s">
        <v>259</v>
      </c>
      <c r="H12" s="67" t="s">
        <v>271</v>
      </c>
      <c r="I12" s="67"/>
      <c r="J12" s="67"/>
      <c r="K12" s="67"/>
      <c r="L12" s="40"/>
      <c r="M12" s="40"/>
      <c r="N12" s="40"/>
      <c r="O12" s="40"/>
      <c r="P12" s="40"/>
      <c r="Q12" s="40"/>
      <c r="R12" s="40"/>
      <c r="S12" s="40"/>
      <c r="T12" s="40"/>
      <c r="U12" s="40"/>
      <c r="V12" s="40"/>
      <c r="W12" s="40"/>
      <c r="X12" s="40"/>
      <c r="Y12" s="40"/>
      <c r="Z12" s="40"/>
    </row>
    <row r="13" spans="1:26">
      <c r="A13" s="14">
        <v>50</v>
      </c>
      <c r="B13" s="70">
        <v>2050</v>
      </c>
      <c r="C13" s="71">
        <f>((1.8)+25)/100*40</f>
        <v>10.72</v>
      </c>
      <c r="D13" s="72" t="s">
        <v>152</v>
      </c>
      <c r="E13" s="73">
        <f t="shared" si="0"/>
        <v>29.777777777777779</v>
      </c>
      <c r="F13" s="72" t="s">
        <v>282</v>
      </c>
      <c r="G13" s="72" t="s">
        <v>259</v>
      </c>
      <c r="H13" s="100" t="s">
        <v>272</v>
      </c>
      <c r="I13" s="100"/>
      <c r="J13" s="129"/>
      <c r="K13" s="100"/>
      <c r="L13" s="72"/>
      <c r="M13" s="72"/>
      <c r="N13" s="72"/>
      <c r="O13" s="72"/>
      <c r="P13" s="72"/>
      <c r="Q13" s="72"/>
      <c r="R13" s="72"/>
      <c r="S13" s="72"/>
      <c r="T13" s="72"/>
      <c r="U13" s="72"/>
      <c r="V13" s="72"/>
      <c r="W13" s="72"/>
      <c r="X13" s="72"/>
      <c r="Y13" s="72"/>
      <c r="Z13" s="72"/>
    </row>
    <row r="14" spans="1:26">
      <c r="B14" s="66">
        <v>2010</v>
      </c>
      <c r="C14" s="69">
        <f>2*C8</f>
        <v>44.6</v>
      </c>
      <c r="D14" s="40" t="s">
        <v>152</v>
      </c>
      <c r="E14" s="68">
        <f t="shared" si="0"/>
        <v>123.8888888888889</v>
      </c>
      <c r="F14" s="40" t="s">
        <v>282</v>
      </c>
      <c r="G14" s="40" t="s">
        <v>220</v>
      </c>
      <c r="H14" s="67" t="s">
        <v>279</v>
      </c>
      <c r="I14" s="67"/>
      <c r="J14" s="67"/>
      <c r="K14" s="67"/>
      <c r="L14" s="40"/>
      <c r="M14" s="40"/>
      <c r="N14" s="40"/>
      <c r="O14" s="40"/>
      <c r="P14" s="40"/>
      <c r="Q14" s="40"/>
      <c r="R14" s="40"/>
      <c r="S14" s="40"/>
      <c r="T14" s="40"/>
      <c r="U14" s="40"/>
      <c r="V14" s="40"/>
      <c r="W14" s="40"/>
      <c r="X14" s="40"/>
      <c r="Y14" s="40"/>
      <c r="Z14" s="40"/>
    </row>
    <row r="15" spans="1:26">
      <c r="B15" s="66">
        <v>2015</v>
      </c>
      <c r="C15" s="69">
        <f t="shared" ref="C15:C19" si="1">2*C9</f>
        <v>42.88</v>
      </c>
      <c r="D15" s="40" t="s">
        <v>152</v>
      </c>
      <c r="E15" s="68">
        <f t="shared" si="0"/>
        <v>119.11111111111111</v>
      </c>
      <c r="F15" s="40" t="s">
        <v>282</v>
      </c>
      <c r="G15" s="40" t="s">
        <v>220</v>
      </c>
      <c r="H15" s="67" t="s">
        <v>279</v>
      </c>
      <c r="I15" s="67"/>
      <c r="J15" s="67"/>
      <c r="K15" s="67"/>
      <c r="L15" s="40"/>
      <c r="M15" s="40"/>
      <c r="N15" s="40"/>
      <c r="O15" s="40"/>
      <c r="P15" s="40"/>
      <c r="Q15" s="40"/>
      <c r="R15" s="40"/>
      <c r="S15" s="40"/>
      <c r="T15" s="40"/>
      <c r="U15" s="40"/>
      <c r="V15" s="40"/>
      <c r="W15" s="40"/>
      <c r="X15" s="40"/>
      <c r="Y15" s="40"/>
      <c r="Z15" s="40"/>
    </row>
    <row r="16" spans="1:26">
      <c r="B16" s="66">
        <v>2020</v>
      </c>
      <c r="C16" s="69">
        <f t="shared" si="1"/>
        <v>37.520000000000003</v>
      </c>
      <c r="D16" s="40" t="s">
        <v>152</v>
      </c>
      <c r="E16" s="68">
        <f t="shared" si="0"/>
        <v>104.22222222222223</v>
      </c>
      <c r="F16" s="40" t="s">
        <v>282</v>
      </c>
      <c r="G16" s="40" t="s">
        <v>220</v>
      </c>
      <c r="H16" s="67" t="s">
        <v>279</v>
      </c>
      <c r="I16" s="67"/>
      <c r="J16" s="67"/>
      <c r="K16" s="67"/>
      <c r="L16" s="40"/>
      <c r="M16" s="40"/>
      <c r="N16" s="40"/>
      <c r="O16" s="40"/>
      <c r="P16" s="40"/>
      <c r="Q16" s="40"/>
      <c r="R16" s="40"/>
      <c r="S16" s="40"/>
      <c r="T16" s="40"/>
      <c r="U16" s="40"/>
      <c r="V16" s="40"/>
      <c r="W16" s="40"/>
      <c r="X16" s="40"/>
      <c r="Y16" s="40"/>
      <c r="Z16" s="40"/>
    </row>
    <row r="17" spans="2:26">
      <c r="B17" s="66">
        <v>2025</v>
      </c>
      <c r="C17" s="69">
        <f t="shared" si="1"/>
        <v>32.160000000000004</v>
      </c>
      <c r="D17" s="40" t="s">
        <v>152</v>
      </c>
      <c r="E17" s="68">
        <f t="shared" si="0"/>
        <v>89.333333333333343</v>
      </c>
      <c r="F17" s="40" t="s">
        <v>282</v>
      </c>
      <c r="G17" s="40" t="s">
        <v>220</v>
      </c>
      <c r="H17" s="67" t="s">
        <v>279</v>
      </c>
      <c r="I17" s="67"/>
      <c r="J17" s="67"/>
      <c r="K17" s="67"/>
      <c r="L17" s="40"/>
      <c r="M17" s="40"/>
      <c r="N17" s="40"/>
      <c r="O17" s="40"/>
      <c r="P17" s="40"/>
      <c r="Q17" s="40"/>
      <c r="R17" s="40"/>
      <c r="S17" s="40"/>
      <c r="T17" s="40"/>
      <c r="U17" s="40"/>
      <c r="V17" s="40"/>
      <c r="W17" s="40"/>
      <c r="X17" s="40"/>
      <c r="Y17" s="40"/>
      <c r="Z17" s="40"/>
    </row>
    <row r="18" spans="2:26">
      <c r="B18" s="66">
        <v>2030</v>
      </c>
      <c r="C18" s="69">
        <f t="shared" si="1"/>
        <v>26.8</v>
      </c>
      <c r="D18" s="40" t="s">
        <v>152</v>
      </c>
      <c r="E18" s="68">
        <f t="shared" si="0"/>
        <v>74.444444444444457</v>
      </c>
      <c r="F18" s="40" t="s">
        <v>282</v>
      </c>
      <c r="G18" s="40" t="s">
        <v>220</v>
      </c>
      <c r="H18" s="67" t="s">
        <v>279</v>
      </c>
      <c r="I18" s="67"/>
      <c r="J18" s="67"/>
      <c r="K18" s="67"/>
      <c r="L18" s="40"/>
      <c r="M18" s="40"/>
      <c r="N18" s="40"/>
      <c r="O18" s="40"/>
      <c r="P18" s="40"/>
      <c r="Q18" s="40"/>
      <c r="R18" s="40"/>
      <c r="S18" s="40"/>
      <c r="T18" s="40"/>
      <c r="U18" s="40"/>
      <c r="V18" s="40"/>
      <c r="W18" s="40"/>
      <c r="X18" s="40"/>
      <c r="Y18" s="40"/>
      <c r="Z18" s="40"/>
    </row>
    <row r="19" spans="2:26">
      <c r="B19" s="70">
        <v>2050</v>
      </c>
      <c r="C19" s="71">
        <f t="shared" si="1"/>
        <v>21.44</v>
      </c>
      <c r="D19" s="72" t="s">
        <v>152</v>
      </c>
      <c r="E19" s="73">
        <f t="shared" si="0"/>
        <v>59.555555555555557</v>
      </c>
      <c r="F19" s="72" t="s">
        <v>282</v>
      </c>
      <c r="G19" s="72" t="s">
        <v>220</v>
      </c>
      <c r="H19" s="100" t="s">
        <v>279</v>
      </c>
      <c r="I19" s="100"/>
      <c r="J19" s="129"/>
      <c r="K19" s="100"/>
      <c r="L19" s="72"/>
      <c r="M19" s="72"/>
      <c r="N19" s="72"/>
      <c r="O19" s="72"/>
      <c r="P19" s="72"/>
      <c r="Q19" s="72"/>
      <c r="R19" s="72"/>
      <c r="S19" s="72"/>
      <c r="T19" s="72"/>
      <c r="U19" s="72"/>
      <c r="V19" s="72"/>
      <c r="W19" s="72"/>
      <c r="X19" s="72"/>
      <c r="Y19" s="72"/>
      <c r="Z19" s="72"/>
    </row>
    <row r="20" spans="2:26">
      <c r="B20" s="131">
        <v>2010</v>
      </c>
      <c r="C20" s="132">
        <v>29.3</v>
      </c>
      <c r="D20" s="130" t="s">
        <v>152</v>
      </c>
      <c r="E20" s="133">
        <f t="shared" si="0"/>
        <v>81.3888888888889</v>
      </c>
      <c r="F20" s="93" t="s">
        <v>282</v>
      </c>
      <c r="G20" s="130" t="s">
        <v>283</v>
      </c>
      <c r="H20" s="134" t="s">
        <v>273</v>
      </c>
      <c r="I20" s="134"/>
      <c r="J20" s="134"/>
      <c r="K20" s="134"/>
      <c r="L20" s="130"/>
      <c r="M20" s="130"/>
      <c r="N20" s="130"/>
      <c r="O20" s="130"/>
      <c r="P20" s="130"/>
      <c r="Q20" s="130"/>
      <c r="R20" s="130"/>
      <c r="S20" s="130"/>
      <c r="T20" s="130"/>
      <c r="U20" s="130"/>
      <c r="V20" s="130"/>
      <c r="W20" s="130"/>
      <c r="X20" s="130"/>
      <c r="Y20" s="130"/>
      <c r="Z20" s="130"/>
    </row>
    <row r="21" spans="2:26">
      <c r="B21" s="135">
        <v>2015</v>
      </c>
      <c r="C21" s="136">
        <v>29.3</v>
      </c>
      <c r="D21" s="93" t="s">
        <v>152</v>
      </c>
      <c r="E21" s="137">
        <f t="shared" si="0"/>
        <v>81.3888888888889</v>
      </c>
      <c r="F21" s="93" t="s">
        <v>282</v>
      </c>
      <c r="G21" s="93" t="s">
        <v>283</v>
      </c>
      <c r="H21" s="138" t="s">
        <v>273</v>
      </c>
      <c r="I21" s="138"/>
      <c r="J21" s="138"/>
      <c r="K21" s="138"/>
      <c r="L21" s="93"/>
      <c r="M21" s="93"/>
      <c r="N21" s="93"/>
      <c r="O21" s="93"/>
      <c r="P21" s="93"/>
      <c r="Q21" s="93"/>
      <c r="R21" s="93"/>
      <c r="S21" s="93"/>
      <c r="T21" s="93"/>
      <c r="U21" s="93"/>
      <c r="V21" s="93"/>
      <c r="W21" s="93"/>
      <c r="X21" s="93"/>
      <c r="Y21" s="93"/>
      <c r="Z21" s="93"/>
    </row>
    <row r="22" spans="2:26">
      <c r="B22" s="135">
        <v>2020</v>
      </c>
      <c r="C22" s="136">
        <v>26.57</v>
      </c>
      <c r="D22" s="93" t="s">
        <v>152</v>
      </c>
      <c r="E22" s="137">
        <f t="shared" si="0"/>
        <v>73.805555555555557</v>
      </c>
      <c r="F22" s="93" t="s">
        <v>282</v>
      </c>
      <c r="G22" s="93" t="s">
        <v>283</v>
      </c>
      <c r="H22" s="138" t="s">
        <v>273</v>
      </c>
      <c r="I22" s="138"/>
      <c r="J22" s="138"/>
      <c r="K22" s="138"/>
      <c r="L22" s="93"/>
      <c r="M22" s="93"/>
      <c r="N22" s="93"/>
      <c r="O22" s="93"/>
      <c r="P22" s="93"/>
      <c r="Q22" s="93"/>
      <c r="R22" s="93"/>
      <c r="S22" s="93"/>
      <c r="T22" s="93"/>
      <c r="U22" s="93"/>
      <c r="V22" s="93"/>
      <c r="W22" s="93"/>
      <c r="X22" s="93"/>
      <c r="Y22" s="93"/>
      <c r="Z22" s="93"/>
    </row>
    <row r="23" spans="2:26">
      <c r="B23" s="135">
        <v>2025</v>
      </c>
      <c r="C23" s="136">
        <v>23.840000000000003</v>
      </c>
      <c r="D23" s="93" t="s">
        <v>152</v>
      </c>
      <c r="E23" s="137">
        <f t="shared" si="0"/>
        <v>66.222222222222229</v>
      </c>
      <c r="F23" s="93" t="s">
        <v>282</v>
      </c>
      <c r="G23" s="93" t="s">
        <v>283</v>
      </c>
      <c r="H23" s="138" t="s">
        <v>273</v>
      </c>
      <c r="I23" s="138"/>
      <c r="J23" s="138"/>
      <c r="K23" s="138"/>
      <c r="L23" s="93"/>
      <c r="M23" s="93"/>
      <c r="N23" s="93"/>
      <c r="O23" s="93"/>
      <c r="P23" s="93"/>
      <c r="Q23" s="93"/>
      <c r="R23" s="93"/>
      <c r="S23" s="93"/>
      <c r="T23" s="93"/>
      <c r="U23" s="93"/>
      <c r="V23" s="93"/>
      <c r="W23" s="93"/>
      <c r="X23" s="93"/>
      <c r="Y23" s="93"/>
      <c r="Z23" s="93"/>
    </row>
    <row r="24" spans="2:26">
      <c r="B24" s="135">
        <v>2030</v>
      </c>
      <c r="C24" s="136">
        <v>21.110000000000003</v>
      </c>
      <c r="D24" s="93" t="s">
        <v>152</v>
      </c>
      <c r="E24" s="137">
        <f t="shared" si="0"/>
        <v>58.638888888888893</v>
      </c>
      <c r="F24" s="93" t="s">
        <v>282</v>
      </c>
      <c r="G24" s="93" t="s">
        <v>283</v>
      </c>
      <c r="H24" s="138" t="s">
        <v>273</v>
      </c>
      <c r="I24" s="138"/>
      <c r="J24" s="138"/>
      <c r="K24" s="138"/>
      <c r="L24" s="93"/>
      <c r="M24" s="93"/>
      <c r="N24" s="93"/>
      <c r="O24" s="93"/>
      <c r="P24" s="93"/>
      <c r="Q24" s="93"/>
      <c r="R24" s="93"/>
      <c r="S24" s="93"/>
      <c r="T24" s="93"/>
      <c r="U24" s="93"/>
      <c r="V24" s="93"/>
      <c r="W24" s="93"/>
      <c r="X24" s="93"/>
      <c r="Y24" s="93"/>
      <c r="Z24" s="93"/>
    </row>
    <row r="25" spans="2:26">
      <c r="B25" s="125">
        <v>2050</v>
      </c>
      <c r="C25" s="126">
        <v>10.190000000000001</v>
      </c>
      <c r="D25" s="127" t="s">
        <v>152</v>
      </c>
      <c r="E25" s="128">
        <f t="shared" si="0"/>
        <v>28.305555555555561</v>
      </c>
      <c r="F25" s="127" t="s">
        <v>282</v>
      </c>
      <c r="G25" s="127" t="s">
        <v>283</v>
      </c>
      <c r="H25" s="129" t="s">
        <v>273</v>
      </c>
      <c r="I25" s="129"/>
      <c r="J25" s="129"/>
      <c r="K25" s="129"/>
      <c r="L25" s="127"/>
      <c r="M25" s="127"/>
      <c r="N25" s="127"/>
      <c r="O25" s="127"/>
      <c r="P25" s="127"/>
      <c r="Q25" s="127"/>
      <c r="R25" s="127"/>
      <c r="S25" s="127"/>
      <c r="T25" s="127"/>
      <c r="U25" s="127"/>
      <c r="V25" s="127"/>
      <c r="W25" s="127"/>
      <c r="X25" s="127"/>
      <c r="Y25" s="127"/>
      <c r="Z25" s="127"/>
    </row>
    <row r="26" spans="2:26">
      <c r="B26" s="66">
        <v>2010</v>
      </c>
      <c r="C26" s="69">
        <v>9.3000000000000007</v>
      </c>
      <c r="D26" s="130" t="s">
        <v>152</v>
      </c>
      <c r="E26" s="133">
        <f t="shared" si="0"/>
        <v>25.833333333333336</v>
      </c>
      <c r="F26" s="93" t="s">
        <v>282</v>
      </c>
      <c r="G26" s="40" t="s">
        <v>283</v>
      </c>
      <c r="H26" s="67" t="s">
        <v>284</v>
      </c>
      <c r="I26" s="67"/>
      <c r="J26" s="67"/>
      <c r="K26" s="67"/>
      <c r="L26" s="40"/>
      <c r="M26" s="40"/>
      <c r="N26" s="40"/>
      <c r="O26" s="40"/>
      <c r="P26" s="40"/>
      <c r="Q26" s="40"/>
      <c r="R26" s="40"/>
      <c r="S26" s="40"/>
      <c r="T26" s="40"/>
      <c r="U26" s="40"/>
      <c r="V26" s="40"/>
      <c r="W26" s="40"/>
      <c r="X26" s="40"/>
      <c r="Y26" s="40"/>
      <c r="Z26" s="40"/>
    </row>
    <row r="27" spans="2:26">
      <c r="B27" s="66">
        <v>2015</v>
      </c>
      <c r="C27" s="69">
        <v>9.3000000000000007</v>
      </c>
      <c r="D27" s="93" t="s">
        <v>152</v>
      </c>
      <c r="E27" s="137">
        <f t="shared" si="0"/>
        <v>25.833333333333336</v>
      </c>
      <c r="F27" s="93" t="s">
        <v>282</v>
      </c>
      <c r="G27" s="40" t="s">
        <v>283</v>
      </c>
      <c r="H27" s="67" t="s">
        <v>284</v>
      </c>
      <c r="I27" s="67"/>
      <c r="J27" s="67"/>
      <c r="K27" s="67"/>
      <c r="L27" s="40"/>
      <c r="M27" s="40"/>
      <c r="N27" s="40"/>
      <c r="O27" s="40"/>
      <c r="P27" s="40"/>
      <c r="Q27" s="40"/>
      <c r="R27" s="40"/>
      <c r="S27" s="40"/>
      <c r="T27" s="40"/>
      <c r="U27" s="40"/>
      <c r="V27" s="40"/>
      <c r="W27" s="40"/>
      <c r="X27" s="40"/>
      <c r="Y27" s="40"/>
      <c r="Z27" s="40"/>
    </row>
    <row r="28" spans="2:26">
      <c r="B28" s="66">
        <v>2020</v>
      </c>
      <c r="C28" s="69">
        <v>6.57</v>
      </c>
      <c r="D28" s="93" t="s">
        <v>152</v>
      </c>
      <c r="E28" s="137">
        <f t="shared" si="0"/>
        <v>18.250000000000004</v>
      </c>
      <c r="F28" s="93" t="s">
        <v>282</v>
      </c>
      <c r="G28" s="40" t="s">
        <v>283</v>
      </c>
      <c r="H28" s="67" t="s">
        <v>284</v>
      </c>
      <c r="I28" s="67"/>
      <c r="J28" s="67"/>
      <c r="K28" s="67"/>
      <c r="L28" s="40"/>
      <c r="M28" s="40"/>
      <c r="N28" s="40"/>
      <c r="O28" s="40"/>
      <c r="P28" s="40"/>
      <c r="Q28" s="40"/>
      <c r="R28" s="40"/>
      <c r="S28" s="40"/>
      <c r="T28" s="40"/>
      <c r="U28" s="40"/>
      <c r="V28" s="40"/>
      <c r="W28" s="40"/>
      <c r="X28" s="40"/>
      <c r="Y28" s="40"/>
      <c r="Z28" s="40"/>
    </row>
    <row r="29" spans="2:26">
      <c r="B29" s="66">
        <v>2025</v>
      </c>
      <c r="C29" s="69">
        <v>3.8400000000000034</v>
      </c>
      <c r="D29" s="93" t="s">
        <v>152</v>
      </c>
      <c r="E29" s="137">
        <f t="shared" si="0"/>
        <v>10.666666666666677</v>
      </c>
      <c r="F29" s="93" t="s">
        <v>282</v>
      </c>
      <c r="G29" s="40" t="s">
        <v>283</v>
      </c>
      <c r="H29" s="67" t="s">
        <v>284</v>
      </c>
      <c r="I29" s="67"/>
      <c r="J29" s="67"/>
      <c r="K29" s="67"/>
      <c r="L29" s="40"/>
      <c r="M29" s="40"/>
      <c r="N29" s="40"/>
      <c r="O29" s="40"/>
      <c r="P29" s="40"/>
      <c r="Q29" s="40"/>
      <c r="R29" s="40"/>
      <c r="S29" s="40"/>
      <c r="T29" s="40"/>
      <c r="U29" s="40"/>
      <c r="V29" s="40"/>
      <c r="W29" s="40"/>
      <c r="X29" s="40"/>
      <c r="Y29" s="40"/>
      <c r="Z29" s="40"/>
    </row>
    <row r="30" spans="2:26">
      <c r="B30" s="66">
        <v>2030</v>
      </c>
      <c r="C30" s="69">
        <v>1.110000000000003</v>
      </c>
      <c r="D30" s="93" t="s">
        <v>152</v>
      </c>
      <c r="E30" s="137">
        <f t="shared" si="0"/>
        <v>3.0833333333333415</v>
      </c>
      <c r="F30" s="93" t="s">
        <v>282</v>
      </c>
      <c r="G30" s="40" t="s">
        <v>283</v>
      </c>
      <c r="H30" s="67" t="s">
        <v>284</v>
      </c>
      <c r="I30" s="67"/>
      <c r="J30" s="67"/>
      <c r="K30" s="67"/>
      <c r="L30" s="40"/>
      <c r="M30" s="40"/>
      <c r="N30" s="40"/>
      <c r="O30" s="40"/>
      <c r="P30" s="40"/>
      <c r="Q30" s="40"/>
      <c r="R30" s="40"/>
      <c r="S30" s="40"/>
      <c r="T30" s="40"/>
      <c r="U30" s="40"/>
      <c r="V30" s="40"/>
      <c r="W30" s="40"/>
      <c r="X30" s="40"/>
      <c r="Y30" s="40"/>
      <c r="Z30" s="40"/>
    </row>
    <row r="31" spans="2:26">
      <c r="B31" s="66">
        <v>2050</v>
      </c>
      <c r="C31" s="69">
        <v>0</v>
      </c>
      <c r="D31" s="93" t="s">
        <v>152</v>
      </c>
      <c r="E31" s="137">
        <f t="shared" si="0"/>
        <v>0</v>
      </c>
      <c r="F31" s="93" t="s">
        <v>282</v>
      </c>
      <c r="G31" s="40" t="s">
        <v>283</v>
      </c>
      <c r="H31" s="67" t="s">
        <v>284</v>
      </c>
      <c r="I31" s="67"/>
      <c r="J31" s="67"/>
      <c r="K31" s="67"/>
      <c r="L31" s="40"/>
      <c r="M31" s="40"/>
      <c r="N31" s="40"/>
      <c r="O31" s="40"/>
      <c r="P31" s="40"/>
      <c r="Q31" s="40"/>
      <c r="R31" s="40"/>
      <c r="S31" s="40"/>
      <c r="T31" s="40"/>
      <c r="U31" s="40"/>
      <c r="V31" s="40"/>
      <c r="W31" s="40"/>
      <c r="X31" s="40"/>
      <c r="Y31" s="40"/>
      <c r="Z31" s="40"/>
    </row>
    <row r="32" spans="2:26">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2:26">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6" spans="2:26" ht="14.4">
      <c r="B36" s="2" t="s">
        <v>337</v>
      </c>
      <c r="C36" s="1"/>
      <c r="D36" s="1"/>
      <c r="E36" s="1"/>
      <c r="F36" s="1"/>
      <c r="G36" s="1"/>
      <c r="H36" s="1"/>
      <c r="K36" s="7"/>
      <c r="L36" s="7"/>
    </row>
    <row r="37" spans="2:26" ht="13.8" thickBot="1">
      <c r="B37" s="3" t="s">
        <v>4</v>
      </c>
      <c r="C37" s="3" t="s">
        <v>5</v>
      </c>
      <c r="D37" s="3" t="s">
        <v>1</v>
      </c>
      <c r="E37" s="63" t="s">
        <v>46</v>
      </c>
      <c r="F37" s="5" t="s">
        <v>7</v>
      </c>
      <c r="G37" s="5" t="s">
        <v>6</v>
      </c>
      <c r="H37" s="18" t="s">
        <v>43</v>
      </c>
      <c r="I37" s="4" t="s">
        <v>432</v>
      </c>
      <c r="J37" s="4" t="s">
        <v>433</v>
      </c>
      <c r="K37" s="64"/>
      <c r="L37" s="64" t="s">
        <v>14</v>
      </c>
      <c r="M37" t="s">
        <v>274</v>
      </c>
    </row>
    <row r="38" spans="2:26" ht="13.2">
      <c r="B38" s="65"/>
      <c r="C38" s="74" t="s">
        <v>48</v>
      </c>
      <c r="D38" s="75">
        <f>$B$123</f>
        <v>2010</v>
      </c>
      <c r="E38" s="75" t="s">
        <v>219</v>
      </c>
      <c r="F38" s="65" t="str">
        <f>D123</f>
        <v>ERWINWON1E</v>
      </c>
      <c r="G38" s="74" t="s">
        <v>53</v>
      </c>
      <c r="H38" s="76" t="s">
        <v>285</v>
      </c>
      <c r="I38" s="77">
        <f>E8</f>
        <v>61.94444444444445</v>
      </c>
      <c r="J38" s="77">
        <f>I38</f>
        <v>61.94444444444445</v>
      </c>
      <c r="K38" s="65"/>
      <c r="L38" s="65" t="s">
        <v>259</v>
      </c>
    </row>
    <row r="39" spans="2:26" ht="13.2">
      <c r="B39" s="65"/>
      <c r="C39" s="74" t="s">
        <v>48</v>
      </c>
      <c r="D39" s="75">
        <f>D38+20</f>
        <v>2030</v>
      </c>
      <c r="E39" s="75" t="s">
        <v>219</v>
      </c>
      <c r="F39" s="65" t="str">
        <f>F38</f>
        <v>ERWINWON1E</v>
      </c>
      <c r="G39" s="74" t="s">
        <v>53</v>
      </c>
      <c r="H39" s="76" t="s">
        <v>285</v>
      </c>
      <c r="I39" s="77">
        <f>E12</f>
        <v>37.222222222222229</v>
      </c>
      <c r="J39" s="77">
        <f t="shared" ref="J39:J102" si="2">I39</f>
        <v>37.222222222222229</v>
      </c>
      <c r="K39" s="65"/>
      <c r="L39" s="65" t="s">
        <v>259</v>
      </c>
      <c r="M39" t="s">
        <v>277</v>
      </c>
    </row>
    <row r="40" spans="2:26" ht="13.2">
      <c r="B40" s="78"/>
      <c r="C40" s="78" t="s">
        <v>48</v>
      </c>
      <c r="D40" s="79">
        <f>D39+1</f>
        <v>2031</v>
      </c>
      <c r="E40" s="79" t="s">
        <v>219</v>
      </c>
      <c r="F40" s="78" t="str">
        <f>F39</f>
        <v>ERWINWON1E</v>
      </c>
      <c r="G40" s="78" t="s">
        <v>53</v>
      </c>
      <c r="H40" s="80" t="s">
        <v>285</v>
      </c>
      <c r="I40" s="81">
        <v>0</v>
      </c>
      <c r="J40" s="77">
        <f t="shared" si="2"/>
        <v>0</v>
      </c>
      <c r="K40" s="78"/>
      <c r="L40" s="78" t="s">
        <v>259</v>
      </c>
    </row>
    <row r="41" spans="2:26" ht="13.2">
      <c r="B41" s="65"/>
      <c r="C41" s="74" t="s">
        <v>48</v>
      </c>
      <c r="D41" s="75">
        <f>$B$124</f>
        <v>2015</v>
      </c>
      <c r="E41" s="75" t="s">
        <v>219</v>
      </c>
      <c r="F41" s="65" t="str">
        <f>C124</f>
        <v>ERWINELCWIN115N</v>
      </c>
      <c r="G41" s="74" t="s">
        <v>53</v>
      </c>
      <c r="H41" s="76" t="s">
        <v>285</v>
      </c>
      <c r="I41" s="77">
        <f>E9</f>
        <v>59.555555555555557</v>
      </c>
      <c r="J41" s="77">
        <f t="shared" si="2"/>
        <v>59.555555555555557</v>
      </c>
      <c r="K41" s="65"/>
      <c r="L41" s="65" t="s">
        <v>259</v>
      </c>
    </row>
    <row r="42" spans="2:26" ht="13.2">
      <c r="B42" s="65"/>
      <c r="C42" s="74" t="s">
        <v>48</v>
      </c>
      <c r="D42" s="75">
        <f>D41+20</f>
        <v>2035</v>
      </c>
      <c r="E42" s="75" t="s">
        <v>219</v>
      </c>
      <c r="F42" s="65" t="str">
        <f>F41</f>
        <v>ERWINELCWIN115N</v>
      </c>
      <c r="G42" s="74" t="s">
        <v>53</v>
      </c>
      <c r="H42" s="76" t="s">
        <v>285</v>
      </c>
      <c r="I42" s="77">
        <f>(E12/4)*3+(E13/4)*1</f>
        <v>35.361111111111114</v>
      </c>
      <c r="J42" s="77">
        <f t="shared" si="2"/>
        <v>35.361111111111114</v>
      </c>
      <c r="K42" s="65"/>
      <c r="L42" s="65" t="s">
        <v>259</v>
      </c>
      <c r="M42" t="s">
        <v>277</v>
      </c>
    </row>
    <row r="43" spans="2:26" ht="13.2">
      <c r="B43" s="78"/>
      <c r="C43" s="78" t="s">
        <v>48</v>
      </c>
      <c r="D43" s="79">
        <f>D42+1</f>
        <v>2036</v>
      </c>
      <c r="E43" s="79" t="s">
        <v>219</v>
      </c>
      <c r="F43" s="78" t="str">
        <f>F42</f>
        <v>ERWINELCWIN115N</v>
      </c>
      <c r="G43" s="78" t="s">
        <v>53</v>
      </c>
      <c r="H43" s="80" t="s">
        <v>285</v>
      </c>
      <c r="I43" s="78">
        <v>0</v>
      </c>
      <c r="J43" s="77">
        <f t="shared" si="2"/>
        <v>0</v>
      </c>
      <c r="K43" s="78"/>
      <c r="L43" s="78" t="s">
        <v>259</v>
      </c>
    </row>
    <row r="44" spans="2:26" ht="13.2">
      <c r="B44" s="65"/>
      <c r="C44" s="74" t="s">
        <v>48</v>
      </c>
      <c r="D44" s="75">
        <f>$B$125</f>
        <v>2020</v>
      </c>
      <c r="E44" s="75" t="s">
        <v>219</v>
      </c>
      <c r="F44" s="65" t="str">
        <f>D125&amp;", "&amp;F125&amp;", "&amp;K125</f>
        <v>ERWINWON3N-DKE, ERWINWON3N-DKW, ERWINELCWIN120N</v>
      </c>
      <c r="G44" s="74" t="s">
        <v>53</v>
      </c>
      <c r="H44" s="76" t="s">
        <v>285</v>
      </c>
      <c r="I44" s="77">
        <f>E10</f>
        <v>52.111111111111114</v>
      </c>
      <c r="J44" s="77">
        <f t="shared" si="2"/>
        <v>52.111111111111114</v>
      </c>
      <c r="K44" s="65"/>
      <c r="L44" s="65" t="s">
        <v>259</v>
      </c>
    </row>
    <row r="45" spans="2:26" ht="13.2">
      <c r="B45" s="65"/>
      <c r="C45" s="74" t="s">
        <v>48</v>
      </c>
      <c r="D45" s="75">
        <f>D44+20</f>
        <v>2040</v>
      </c>
      <c r="E45" s="75" t="s">
        <v>219</v>
      </c>
      <c r="F45" s="65" t="str">
        <f>F44</f>
        <v>ERWINWON3N-DKE, ERWINWON3N-DKW, ERWINELCWIN120N</v>
      </c>
      <c r="G45" s="74" t="s">
        <v>53</v>
      </c>
      <c r="H45" s="76" t="s">
        <v>285</v>
      </c>
      <c r="I45" s="77">
        <f>(E12+E13)/2</f>
        <v>33.5</v>
      </c>
      <c r="J45" s="77">
        <f t="shared" si="2"/>
        <v>33.5</v>
      </c>
      <c r="K45" s="65"/>
      <c r="L45" s="65" t="s">
        <v>259</v>
      </c>
      <c r="M45" t="s">
        <v>277</v>
      </c>
    </row>
    <row r="46" spans="2:26" ht="13.2">
      <c r="B46" s="78"/>
      <c r="C46" s="78" t="s">
        <v>48</v>
      </c>
      <c r="D46" s="79">
        <f>D45+1</f>
        <v>2041</v>
      </c>
      <c r="E46" s="79" t="s">
        <v>219</v>
      </c>
      <c r="F46" s="78" t="str">
        <f>F45</f>
        <v>ERWINWON3N-DKE, ERWINWON3N-DKW, ERWINELCWIN120N</v>
      </c>
      <c r="G46" s="78" t="s">
        <v>53</v>
      </c>
      <c r="H46" s="80" t="s">
        <v>285</v>
      </c>
      <c r="I46" s="81">
        <v>0</v>
      </c>
      <c r="J46" s="77">
        <f t="shared" si="2"/>
        <v>0</v>
      </c>
      <c r="K46" s="78"/>
      <c r="L46" s="78" t="s">
        <v>259</v>
      </c>
    </row>
    <row r="47" spans="2:26" ht="13.2">
      <c r="B47" s="74"/>
      <c r="C47" s="74" t="s">
        <v>48</v>
      </c>
      <c r="D47" s="75">
        <f>$B$126</f>
        <v>2025</v>
      </c>
      <c r="E47" s="75" t="s">
        <v>219</v>
      </c>
      <c r="F47" s="74" t="str">
        <f>C126&amp;", "&amp;D126</f>
        <v>ERWINWON4N-DKE, ERWINWON4N-DKW</v>
      </c>
      <c r="G47" s="74" t="s">
        <v>53</v>
      </c>
      <c r="H47" s="76" t="s">
        <v>285</v>
      </c>
      <c r="I47" s="82">
        <f>E11</f>
        <v>44.666666666666671</v>
      </c>
      <c r="J47" s="77">
        <f t="shared" si="2"/>
        <v>44.666666666666671</v>
      </c>
      <c r="K47" s="65"/>
      <c r="L47" s="65" t="s">
        <v>259</v>
      </c>
    </row>
    <row r="48" spans="2:26" ht="13.2">
      <c r="B48" s="74"/>
      <c r="C48" s="74" t="s">
        <v>48</v>
      </c>
      <c r="D48" s="75">
        <f>D47+20</f>
        <v>2045</v>
      </c>
      <c r="E48" s="75" t="s">
        <v>219</v>
      </c>
      <c r="F48" s="74" t="str">
        <f>F47</f>
        <v>ERWINWON4N-DKE, ERWINWON4N-DKW</v>
      </c>
      <c r="G48" s="74" t="s">
        <v>53</v>
      </c>
      <c r="H48" s="76" t="s">
        <v>285</v>
      </c>
      <c r="I48" s="82">
        <f>(E13/4)*3+(E12/4*1)</f>
        <v>31.638888888888893</v>
      </c>
      <c r="J48" s="77">
        <f t="shared" si="2"/>
        <v>31.638888888888893</v>
      </c>
      <c r="K48" s="74"/>
      <c r="L48" s="74" t="s">
        <v>259</v>
      </c>
      <c r="M48" t="s">
        <v>277</v>
      </c>
    </row>
    <row r="49" spans="2:13" ht="13.2">
      <c r="B49" s="78"/>
      <c r="C49" s="78" t="s">
        <v>48</v>
      </c>
      <c r="D49" s="79">
        <f>D48+1</f>
        <v>2046</v>
      </c>
      <c r="E49" s="79" t="s">
        <v>219</v>
      </c>
      <c r="F49" s="78" t="str">
        <f>F48</f>
        <v>ERWINWON4N-DKE, ERWINWON4N-DKW</v>
      </c>
      <c r="G49" s="78" t="s">
        <v>53</v>
      </c>
      <c r="H49" s="80" t="s">
        <v>285</v>
      </c>
      <c r="I49" s="81">
        <v>0</v>
      </c>
      <c r="J49" s="77">
        <f t="shared" si="2"/>
        <v>0</v>
      </c>
      <c r="K49" s="78"/>
      <c r="L49" s="78" t="s">
        <v>259</v>
      </c>
    </row>
    <row r="50" spans="2:13" ht="13.2">
      <c r="B50" s="74"/>
      <c r="C50" s="74" t="s">
        <v>48</v>
      </c>
      <c r="D50" s="75">
        <f>$B$127</f>
        <v>2030</v>
      </c>
      <c r="E50" s="75" t="s">
        <v>219</v>
      </c>
      <c r="F50" s="74" t="str">
        <f>C127</f>
        <v>ERWINELCWIN130N</v>
      </c>
      <c r="G50" s="74" t="s">
        <v>53</v>
      </c>
      <c r="H50" s="76" t="s">
        <v>285</v>
      </c>
      <c r="I50" s="82">
        <f>E12</f>
        <v>37.222222222222229</v>
      </c>
      <c r="J50" s="77">
        <f t="shared" si="2"/>
        <v>37.222222222222229</v>
      </c>
      <c r="K50" s="74"/>
      <c r="L50" s="74" t="s">
        <v>259</v>
      </c>
    </row>
    <row r="51" spans="2:13" ht="13.2">
      <c r="B51" s="74"/>
      <c r="C51" s="78" t="s">
        <v>48</v>
      </c>
      <c r="D51" s="79">
        <v>2050</v>
      </c>
      <c r="E51" s="79" t="s">
        <v>219</v>
      </c>
      <c r="F51" s="78" t="str">
        <f>F50</f>
        <v>ERWINELCWIN130N</v>
      </c>
      <c r="G51" s="78" t="s">
        <v>53</v>
      </c>
      <c r="H51" s="80" t="s">
        <v>285</v>
      </c>
      <c r="I51" s="81">
        <f>E13</f>
        <v>29.777777777777779</v>
      </c>
      <c r="J51" s="77">
        <f t="shared" si="2"/>
        <v>29.777777777777779</v>
      </c>
      <c r="K51" s="78"/>
      <c r="L51" s="78" t="s">
        <v>259</v>
      </c>
      <c r="M51" t="s">
        <v>277</v>
      </c>
    </row>
    <row r="52" spans="2:13" ht="13.8" thickBot="1">
      <c r="B52" s="111"/>
      <c r="C52" s="111" t="s">
        <v>48</v>
      </c>
      <c r="D52" s="112">
        <f>$B$128</f>
        <v>2050</v>
      </c>
      <c r="E52" s="112" t="s">
        <v>219</v>
      </c>
      <c r="F52" s="111" t="str">
        <f>C128</f>
        <v>ERWINELCWIN150N</v>
      </c>
      <c r="G52" s="111" t="s">
        <v>53</v>
      </c>
      <c r="H52" s="113" t="s">
        <v>285</v>
      </c>
      <c r="I52" s="114">
        <f>E13</f>
        <v>29.777777777777779</v>
      </c>
      <c r="J52" s="77">
        <f t="shared" si="2"/>
        <v>29.777777777777779</v>
      </c>
      <c r="K52" s="111"/>
      <c r="L52" s="111" t="s">
        <v>259</v>
      </c>
    </row>
    <row r="53" spans="2:13" ht="13.2">
      <c r="B53" s="40"/>
      <c r="C53" s="93" t="s">
        <v>48</v>
      </c>
      <c r="D53" s="94">
        <f>$B$123</f>
        <v>2010</v>
      </c>
      <c r="E53" s="94" t="s">
        <v>219</v>
      </c>
      <c r="F53" s="40" t="str">
        <f>C123</f>
        <v>ERWINWOF1E</v>
      </c>
      <c r="G53" s="93" t="s">
        <v>53</v>
      </c>
      <c r="H53" s="95" t="s">
        <v>285</v>
      </c>
      <c r="I53" s="96">
        <f>E14</f>
        <v>123.8888888888889</v>
      </c>
      <c r="J53" s="77">
        <f t="shared" si="2"/>
        <v>123.8888888888889</v>
      </c>
      <c r="K53" s="93"/>
      <c r="L53" s="93" t="s">
        <v>220</v>
      </c>
    </row>
    <row r="54" spans="2:13" ht="13.2">
      <c r="B54" s="93"/>
      <c r="C54" s="93" t="s">
        <v>48</v>
      </c>
      <c r="D54" s="94">
        <f>D53+20</f>
        <v>2030</v>
      </c>
      <c r="E54" s="94" t="s">
        <v>219</v>
      </c>
      <c r="F54" s="93" t="str">
        <f>F53</f>
        <v>ERWINWOF1E</v>
      </c>
      <c r="G54" s="93" t="s">
        <v>53</v>
      </c>
      <c r="H54" s="95" t="s">
        <v>285</v>
      </c>
      <c r="I54" s="96">
        <f>E18</f>
        <v>74.444444444444457</v>
      </c>
      <c r="J54" s="77">
        <f t="shared" si="2"/>
        <v>74.444444444444457</v>
      </c>
      <c r="K54" s="93"/>
      <c r="L54" s="93" t="s">
        <v>220</v>
      </c>
      <c r="M54" t="s">
        <v>277</v>
      </c>
    </row>
    <row r="55" spans="2:13" ht="13.2">
      <c r="B55" s="72"/>
      <c r="C55" s="72" t="s">
        <v>48</v>
      </c>
      <c r="D55" s="97">
        <f>D54+1</f>
        <v>2031</v>
      </c>
      <c r="E55" s="97" t="s">
        <v>219</v>
      </c>
      <c r="F55" s="72" t="str">
        <f>F54</f>
        <v>ERWINWOF1E</v>
      </c>
      <c r="G55" s="72" t="s">
        <v>53</v>
      </c>
      <c r="H55" s="98" t="s">
        <v>285</v>
      </c>
      <c r="I55" s="99">
        <v>0</v>
      </c>
      <c r="J55" s="77">
        <f t="shared" si="2"/>
        <v>0</v>
      </c>
      <c r="K55" s="72"/>
      <c r="L55" s="72" t="s">
        <v>220</v>
      </c>
    </row>
    <row r="56" spans="2:13" ht="13.2">
      <c r="B56" s="40"/>
      <c r="C56" s="93" t="s">
        <v>48</v>
      </c>
      <c r="D56" s="94">
        <f>$B$124</f>
        <v>2015</v>
      </c>
      <c r="E56" s="94" t="s">
        <v>219</v>
      </c>
      <c r="F56" s="40" t="str">
        <f>D124</f>
        <v>ERWINELCWIN515N</v>
      </c>
      <c r="G56" s="93" t="s">
        <v>53</v>
      </c>
      <c r="H56" s="95" t="s">
        <v>285</v>
      </c>
      <c r="I56" s="62">
        <f>E15</f>
        <v>119.11111111111111</v>
      </c>
      <c r="J56" s="77">
        <f t="shared" si="2"/>
        <v>119.11111111111111</v>
      </c>
      <c r="K56" s="40"/>
      <c r="L56" s="93" t="s">
        <v>220</v>
      </c>
    </row>
    <row r="57" spans="2:13" ht="13.2">
      <c r="B57" s="40"/>
      <c r="C57" s="93" t="s">
        <v>48</v>
      </c>
      <c r="D57" s="94">
        <f>D56+20</f>
        <v>2035</v>
      </c>
      <c r="E57" s="94" t="s">
        <v>219</v>
      </c>
      <c r="F57" s="40" t="str">
        <f>F56</f>
        <v>ERWINELCWIN515N</v>
      </c>
      <c r="G57" s="93" t="s">
        <v>53</v>
      </c>
      <c r="H57" s="95" t="s">
        <v>285</v>
      </c>
      <c r="I57" s="62">
        <f>(E18/4)*3+(E19/4)*1</f>
        <v>70.722222222222229</v>
      </c>
      <c r="J57" s="77">
        <f t="shared" si="2"/>
        <v>70.722222222222229</v>
      </c>
      <c r="K57" s="40"/>
      <c r="L57" s="93" t="s">
        <v>220</v>
      </c>
      <c r="M57" t="s">
        <v>277</v>
      </c>
    </row>
    <row r="58" spans="2:13" ht="13.2">
      <c r="B58" s="72"/>
      <c r="C58" s="72" t="s">
        <v>48</v>
      </c>
      <c r="D58" s="97">
        <f>D57+1</f>
        <v>2036</v>
      </c>
      <c r="E58" s="97" t="s">
        <v>219</v>
      </c>
      <c r="F58" s="72" t="str">
        <f>F57</f>
        <v>ERWINELCWIN515N</v>
      </c>
      <c r="G58" s="72" t="s">
        <v>53</v>
      </c>
      <c r="H58" s="98" t="s">
        <v>285</v>
      </c>
      <c r="I58" s="99">
        <v>0</v>
      </c>
      <c r="J58" s="77">
        <f t="shared" si="2"/>
        <v>0</v>
      </c>
      <c r="K58" s="72"/>
      <c r="L58" s="72" t="s">
        <v>220</v>
      </c>
    </row>
    <row r="59" spans="2:13" ht="13.2">
      <c r="B59" s="40"/>
      <c r="C59" s="93" t="s">
        <v>48</v>
      </c>
      <c r="D59" s="94">
        <f>$B$125</f>
        <v>2020</v>
      </c>
      <c r="E59" s="94" t="s">
        <v>219</v>
      </c>
      <c r="F59" s="93" t="str">
        <f>C125&amp;", "&amp;E125&amp;", "&amp;L125</f>
        <v>ERWINWOF3N-DKE, ERWINWOF3N-DKW, ERWINELCWIN520N</v>
      </c>
      <c r="G59" s="93" t="s">
        <v>53</v>
      </c>
      <c r="H59" s="95" t="s">
        <v>285</v>
      </c>
      <c r="I59" s="62">
        <f>E16</f>
        <v>104.22222222222223</v>
      </c>
      <c r="J59" s="77">
        <f t="shared" si="2"/>
        <v>104.22222222222223</v>
      </c>
      <c r="K59" s="40"/>
      <c r="L59" s="93" t="s">
        <v>220</v>
      </c>
    </row>
    <row r="60" spans="2:13" ht="13.2">
      <c r="B60" s="40"/>
      <c r="C60" s="93" t="s">
        <v>48</v>
      </c>
      <c r="D60" s="94">
        <f>D59+20</f>
        <v>2040</v>
      </c>
      <c r="E60" s="94" t="s">
        <v>219</v>
      </c>
      <c r="F60" s="40" t="str">
        <f>F59</f>
        <v>ERWINWOF3N-DKE, ERWINWOF3N-DKW, ERWINELCWIN520N</v>
      </c>
      <c r="G60" s="93" t="s">
        <v>53</v>
      </c>
      <c r="H60" s="95" t="s">
        <v>285</v>
      </c>
      <c r="I60" s="62">
        <f>(E18+E19)/2</f>
        <v>67</v>
      </c>
      <c r="J60" s="77">
        <f t="shared" si="2"/>
        <v>67</v>
      </c>
      <c r="K60" s="40"/>
      <c r="L60" s="93" t="s">
        <v>220</v>
      </c>
      <c r="M60" t="s">
        <v>277</v>
      </c>
    </row>
    <row r="61" spans="2:13" ht="13.2">
      <c r="B61" s="72"/>
      <c r="C61" s="72" t="s">
        <v>48</v>
      </c>
      <c r="D61" s="97">
        <f>D60+1</f>
        <v>2041</v>
      </c>
      <c r="E61" s="97" t="s">
        <v>219</v>
      </c>
      <c r="F61" s="72" t="str">
        <f>F60</f>
        <v>ERWINWOF3N-DKE, ERWINWOF3N-DKW, ERWINELCWIN520N</v>
      </c>
      <c r="G61" s="72" t="s">
        <v>53</v>
      </c>
      <c r="H61" s="98" t="s">
        <v>285</v>
      </c>
      <c r="I61" s="72">
        <v>0</v>
      </c>
      <c r="J61" s="77">
        <f t="shared" si="2"/>
        <v>0</v>
      </c>
      <c r="K61" s="72"/>
      <c r="L61" s="72" t="s">
        <v>220</v>
      </c>
    </row>
    <row r="62" spans="2:13" ht="13.2">
      <c r="B62" s="103"/>
      <c r="C62" s="103" t="s">
        <v>48</v>
      </c>
      <c r="D62" s="104">
        <f>$B$127</f>
        <v>2030</v>
      </c>
      <c r="E62" s="104" t="s">
        <v>219</v>
      </c>
      <c r="F62" s="103" t="str">
        <f>D127</f>
        <v>ERWINELCWIN530N</v>
      </c>
      <c r="G62" s="103" t="s">
        <v>53</v>
      </c>
      <c r="H62" s="105" t="s">
        <v>285</v>
      </c>
      <c r="I62" s="106">
        <f>E18</f>
        <v>74.444444444444457</v>
      </c>
      <c r="J62" s="77">
        <f t="shared" si="2"/>
        <v>74.444444444444457</v>
      </c>
      <c r="K62" s="103"/>
      <c r="L62" s="103" t="s">
        <v>220</v>
      </c>
    </row>
    <row r="63" spans="2:13" ht="13.2">
      <c r="B63" s="72"/>
      <c r="C63" s="72" t="s">
        <v>48</v>
      </c>
      <c r="D63" s="97">
        <v>2050</v>
      </c>
      <c r="E63" s="97" t="s">
        <v>219</v>
      </c>
      <c r="F63" s="72" t="str">
        <f>F62</f>
        <v>ERWINELCWIN530N</v>
      </c>
      <c r="G63" s="72" t="s">
        <v>53</v>
      </c>
      <c r="H63" s="98" t="s">
        <v>285</v>
      </c>
      <c r="I63" s="99">
        <f>E19</f>
        <v>59.555555555555557</v>
      </c>
      <c r="J63" s="77">
        <f t="shared" si="2"/>
        <v>59.555555555555557</v>
      </c>
      <c r="K63" s="72"/>
      <c r="L63" s="72" t="s">
        <v>220</v>
      </c>
      <c r="M63" t="s">
        <v>277</v>
      </c>
    </row>
    <row r="64" spans="2:13" ht="13.8" thickBot="1">
      <c r="B64" s="107"/>
      <c r="C64" s="107" t="s">
        <v>48</v>
      </c>
      <c r="D64" s="108">
        <f>$B$128</f>
        <v>2050</v>
      </c>
      <c r="E64" s="108" t="s">
        <v>219</v>
      </c>
      <c r="F64" s="107" t="str">
        <f>D128</f>
        <v>ERWINELCWIN550N</v>
      </c>
      <c r="G64" s="107" t="s">
        <v>53</v>
      </c>
      <c r="H64" s="109" t="s">
        <v>285</v>
      </c>
      <c r="I64" s="110">
        <f>E19</f>
        <v>59.555555555555557</v>
      </c>
      <c r="J64" s="77">
        <f t="shared" si="2"/>
        <v>59.555555555555557</v>
      </c>
      <c r="K64" s="107"/>
      <c r="L64" s="107" t="s">
        <v>220</v>
      </c>
    </row>
    <row r="65" spans="2:27" ht="13.2">
      <c r="B65" s="91"/>
      <c r="C65" s="83" t="s">
        <v>48</v>
      </c>
      <c r="D65" s="84">
        <f>$B$123</f>
        <v>2010</v>
      </c>
      <c r="E65" s="84" t="s">
        <v>219</v>
      </c>
      <c r="F65" s="91" t="str">
        <f>E123</f>
        <v>ERSOLPVO1E</v>
      </c>
      <c r="G65" s="83" t="s">
        <v>54</v>
      </c>
      <c r="H65" s="85" t="s">
        <v>285</v>
      </c>
      <c r="I65" s="92">
        <f>E20</f>
        <v>81.3888888888889</v>
      </c>
      <c r="J65" s="77">
        <f t="shared" si="2"/>
        <v>81.3888888888889</v>
      </c>
      <c r="K65" s="91"/>
      <c r="L65" s="83" t="s">
        <v>260</v>
      </c>
    </row>
    <row r="66" spans="2:27" ht="13.2">
      <c r="B66" s="91"/>
      <c r="C66" s="83" t="s">
        <v>48</v>
      </c>
      <c r="D66" s="84">
        <f>D65+9</f>
        <v>2019</v>
      </c>
      <c r="E66" s="84" t="str">
        <f>E65</f>
        <v>ELE</v>
      </c>
      <c r="F66" s="91" t="str">
        <f>F65</f>
        <v>ERSOLPVO1E</v>
      </c>
      <c r="G66" s="83" t="str">
        <f>G65</f>
        <v>ELCSOL</v>
      </c>
      <c r="H66" s="85" t="s">
        <v>285</v>
      </c>
      <c r="I66" s="92">
        <f>I65</f>
        <v>81.3888888888889</v>
      </c>
      <c r="J66" s="77">
        <f t="shared" si="2"/>
        <v>81.3888888888889</v>
      </c>
      <c r="K66" s="91"/>
      <c r="L66" s="83" t="s">
        <v>260</v>
      </c>
    </row>
    <row r="67" spans="2:27" ht="13.2">
      <c r="B67" s="91"/>
      <c r="C67" s="83" t="s">
        <v>48</v>
      </c>
      <c r="D67" s="84">
        <f>D66+1</f>
        <v>2020</v>
      </c>
      <c r="E67" s="84" t="s">
        <v>219</v>
      </c>
      <c r="F67" s="91" t="str">
        <f>F65</f>
        <v>ERSOLPVO1E</v>
      </c>
      <c r="G67" s="83" t="s">
        <v>54</v>
      </c>
      <c r="H67" s="85" t="s">
        <v>285</v>
      </c>
      <c r="I67" s="92">
        <f>E28</f>
        <v>18.250000000000004</v>
      </c>
      <c r="J67" s="77">
        <f t="shared" si="2"/>
        <v>18.250000000000004</v>
      </c>
      <c r="K67" s="91"/>
      <c r="L67" s="83" t="s">
        <v>260</v>
      </c>
      <c r="M67" s="10" t="s">
        <v>278</v>
      </c>
    </row>
    <row r="68" spans="2:27" ht="13.2">
      <c r="B68" s="91"/>
      <c r="C68" s="83" t="str">
        <f>C67</f>
        <v>FLO_SUB</v>
      </c>
      <c r="D68" s="84">
        <f>D66+10</f>
        <v>2029</v>
      </c>
      <c r="E68" s="84" t="str">
        <f>E67</f>
        <v>ELE</v>
      </c>
      <c r="F68" s="91" t="str">
        <f>F67</f>
        <v>ERSOLPVO1E</v>
      </c>
      <c r="G68" s="83" t="str">
        <f>G67</f>
        <v>ELCSOL</v>
      </c>
      <c r="H68" s="85" t="s">
        <v>285</v>
      </c>
      <c r="I68" s="92">
        <f>I67</f>
        <v>18.250000000000004</v>
      </c>
      <c r="J68" s="77">
        <f t="shared" si="2"/>
        <v>18.250000000000004</v>
      </c>
      <c r="K68" s="91"/>
      <c r="L68" s="83" t="s">
        <v>260</v>
      </c>
    </row>
    <row r="69" spans="2:27" ht="13.2">
      <c r="B69" s="87"/>
      <c r="C69" s="87" t="s">
        <v>48</v>
      </c>
      <c r="D69" s="88">
        <f>D68+1</f>
        <v>2030</v>
      </c>
      <c r="E69" s="88" t="s">
        <v>219</v>
      </c>
      <c r="F69" s="87" t="str">
        <f>F67</f>
        <v>ERSOLPVO1E</v>
      </c>
      <c r="G69" s="87" t="s">
        <v>54</v>
      </c>
      <c r="H69" s="89" t="s">
        <v>285</v>
      </c>
      <c r="I69" s="90">
        <v>0</v>
      </c>
      <c r="J69" s="77">
        <f t="shared" si="2"/>
        <v>0</v>
      </c>
      <c r="K69" s="87"/>
      <c r="L69" s="87" t="s">
        <v>260</v>
      </c>
    </row>
    <row r="70" spans="2:27" ht="13.2">
      <c r="B70" s="91"/>
      <c r="C70" s="83" t="s">
        <v>48</v>
      </c>
      <c r="D70" s="84">
        <f>$B$124</f>
        <v>2015</v>
      </c>
      <c r="E70" s="84" t="s">
        <v>219</v>
      </c>
      <c r="F70" s="91" t="str">
        <f>E124&amp;", "&amp;F124&amp;", "&amp;G124</f>
        <v>ERSOLPV5N15, ERSOLPV6N15, ERSOLPV7N15</v>
      </c>
      <c r="G70" s="83" t="s">
        <v>54</v>
      </c>
      <c r="H70" s="85" t="s">
        <v>285</v>
      </c>
      <c r="I70" s="92">
        <f>E21</f>
        <v>81.3888888888889</v>
      </c>
      <c r="J70" s="77">
        <f t="shared" si="2"/>
        <v>81.3888888888889</v>
      </c>
      <c r="K70" s="91"/>
      <c r="L70" s="83" t="s">
        <v>260</v>
      </c>
    </row>
    <row r="71" spans="2:27" ht="13.2">
      <c r="B71" s="91"/>
      <c r="C71" s="83" t="str">
        <f>C70</f>
        <v>FLO_SUB</v>
      </c>
      <c r="D71" s="84">
        <f>D70+9</f>
        <v>2024</v>
      </c>
      <c r="E71" s="84" t="str">
        <f>E70</f>
        <v>ELE</v>
      </c>
      <c r="F71" s="91" t="str">
        <f>F70</f>
        <v>ERSOLPV5N15, ERSOLPV6N15, ERSOLPV7N15</v>
      </c>
      <c r="G71" s="83" t="str">
        <f>G70</f>
        <v>ELCSOL</v>
      </c>
      <c r="H71" s="85" t="s">
        <v>285</v>
      </c>
      <c r="I71" s="92">
        <f>I70</f>
        <v>81.3888888888889</v>
      </c>
      <c r="J71" s="77">
        <f t="shared" si="2"/>
        <v>81.3888888888889</v>
      </c>
      <c r="K71" s="91"/>
      <c r="L71" s="83" t="str">
        <f>L70</f>
        <v>Solar PV</v>
      </c>
    </row>
    <row r="72" spans="2:27" ht="13.2">
      <c r="B72" s="91"/>
      <c r="C72" s="83" t="s">
        <v>48</v>
      </c>
      <c r="D72" s="84">
        <f>D71+1</f>
        <v>2025</v>
      </c>
      <c r="E72" s="84" t="s">
        <v>219</v>
      </c>
      <c r="F72" s="91" t="str">
        <f>F70</f>
        <v>ERSOLPV5N15, ERSOLPV6N15, ERSOLPV7N15</v>
      </c>
      <c r="G72" s="83" t="s">
        <v>54</v>
      </c>
      <c r="H72" s="85" t="s">
        <v>285</v>
      </c>
      <c r="I72" s="92">
        <f>E29</f>
        <v>10.666666666666677</v>
      </c>
      <c r="J72" s="77">
        <f t="shared" si="2"/>
        <v>10.666666666666677</v>
      </c>
      <c r="K72" s="91"/>
      <c r="L72" s="83" t="s">
        <v>260</v>
      </c>
      <c r="M72" s="10" t="s">
        <v>278</v>
      </c>
    </row>
    <row r="73" spans="2:27" ht="13.2">
      <c r="B73" s="91"/>
      <c r="C73" s="83" t="str">
        <f>C72</f>
        <v>FLO_SUB</v>
      </c>
      <c r="D73" s="84">
        <f>D71+10</f>
        <v>2034</v>
      </c>
      <c r="E73" s="84" t="str">
        <f>E72</f>
        <v>ELE</v>
      </c>
      <c r="F73" s="91" t="str">
        <f>F72</f>
        <v>ERSOLPV5N15, ERSOLPV6N15, ERSOLPV7N15</v>
      </c>
      <c r="G73" s="83" t="str">
        <f>G72</f>
        <v>ELCSOL</v>
      </c>
      <c r="H73" s="85" t="s">
        <v>285</v>
      </c>
      <c r="I73" s="92">
        <f>I72</f>
        <v>10.666666666666677</v>
      </c>
      <c r="J73" s="77">
        <f t="shared" si="2"/>
        <v>10.666666666666677</v>
      </c>
      <c r="K73" s="91"/>
      <c r="L73" s="83" t="str">
        <f>L72</f>
        <v>Solar PV</v>
      </c>
    </row>
    <row r="74" spans="2:27" ht="13.2">
      <c r="B74" s="87"/>
      <c r="C74" s="87" t="s">
        <v>48</v>
      </c>
      <c r="D74" s="88">
        <f>D73+1</f>
        <v>2035</v>
      </c>
      <c r="E74" s="88" t="s">
        <v>219</v>
      </c>
      <c r="F74" s="87" t="str">
        <f>F72</f>
        <v>ERSOLPV5N15, ERSOLPV6N15, ERSOLPV7N15</v>
      </c>
      <c r="G74" s="87" t="s">
        <v>54</v>
      </c>
      <c r="H74" s="89" t="s">
        <v>285</v>
      </c>
      <c r="I74" s="87">
        <v>0</v>
      </c>
      <c r="J74" s="77">
        <f t="shared" si="2"/>
        <v>0</v>
      </c>
      <c r="K74" s="87"/>
      <c r="L74" s="87" t="s">
        <v>260</v>
      </c>
    </row>
    <row r="75" spans="2:27" ht="13.2">
      <c r="B75" s="91"/>
      <c r="C75" s="83" t="s">
        <v>48</v>
      </c>
      <c r="D75" s="84">
        <f>$B$125</f>
        <v>2020</v>
      </c>
      <c r="E75" s="84" t="s">
        <v>219</v>
      </c>
      <c r="F75" s="83" t="str">
        <f>G125&amp;", "&amp;H125&amp;", "&amp;M125&amp;", "&amp;N125&amp;", "&amp;O125</f>
        <v>ERSOLPVO3N-DKW, ERSOLPVO3N-DKE, ERSOLPV5N20, ERSOLPV6N20, ERSOLPV7N20</v>
      </c>
      <c r="G75" s="83" t="s">
        <v>54</v>
      </c>
      <c r="H75" s="85" t="s">
        <v>285</v>
      </c>
      <c r="I75" s="92">
        <f>E22</f>
        <v>73.805555555555557</v>
      </c>
      <c r="J75" s="77">
        <f t="shared" si="2"/>
        <v>73.805555555555557</v>
      </c>
      <c r="K75" s="91"/>
      <c r="L75" s="83" t="s">
        <v>260</v>
      </c>
    </row>
    <row r="76" spans="2:27" ht="13.2">
      <c r="B76" s="91"/>
      <c r="C76" s="83" t="str">
        <f>C75</f>
        <v>FLO_SUB</v>
      </c>
      <c r="D76" s="84">
        <f>D75+9</f>
        <v>2029</v>
      </c>
      <c r="E76" s="84" t="str">
        <f>E75</f>
        <v>ELE</v>
      </c>
      <c r="F76" s="83" t="str">
        <f>F75</f>
        <v>ERSOLPVO3N-DKW, ERSOLPVO3N-DKE, ERSOLPV5N20, ERSOLPV6N20, ERSOLPV7N20</v>
      </c>
      <c r="G76" s="83" t="str">
        <f>G75</f>
        <v>ELCSOL</v>
      </c>
      <c r="H76" s="85" t="s">
        <v>285</v>
      </c>
      <c r="I76" s="92">
        <f>I75</f>
        <v>73.805555555555557</v>
      </c>
      <c r="J76" s="77">
        <f t="shared" si="2"/>
        <v>73.805555555555557</v>
      </c>
      <c r="K76" s="91"/>
      <c r="L76" s="83" t="str">
        <f>L75</f>
        <v>Solar PV</v>
      </c>
    </row>
    <row r="77" spans="2:27" ht="13.2">
      <c r="B77" s="91"/>
      <c r="C77" s="83" t="s">
        <v>48</v>
      </c>
      <c r="D77" s="84">
        <f>D76+1</f>
        <v>2030</v>
      </c>
      <c r="E77" s="84" t="s">
        <v>219</v>
      </c>
      <c r="F77" s="91" t="str">
        <f>F75</f>
        <v>ERSOLPVO3N-DKW, ERSOLPVO3N-DKE, ERSOLPV5N20, ERSOLPV6N20, ERSOLPV7N20</v>
      </c>
      <c r="G77" s="83" t="s">
        <v>54</v>
      </c>
      <c r="H77" s="85" t="s">
        <v>285</v>
      </c>
      <c r="I77" s="92">
        <f>E30</f>
        <v>3.0833333333333415</v>
      </c>
      <c r="J77" s="77">
        <f t="shared" si="2"/>
        <v>3.0833333333333415</v>
      </c>
      <c r="K77" s="91"/>
      <c r="L77" s="83" t="s">
        <v>260</v>
      </c>
      <c r="M77" s="10" t="s">
        <v>278</v>
      </c>
    </row>
    <row r="78" spans="2:27" ht="13.2">
      <c r="B78" s="91"/>
      <c r="C78" s="83" t="str">
        <f>C77</f>
        <v>FLO_SUB</v>
      </c>
      <c r="D78" s="84">
        <f>D76+10</f>
        <v>2039</v>
      </c>
      <c r="E78" s="84" t="str">
        <f>E77</f>
        <v>ELE</v>
      </c>
      <c r="F78" s="83" t="str">
        <f>F77</f>
        <v>ERSOLPVO3N-DKW, ERSOLPVO3N-DKE, ERSOLPV5N20, ERSOLPV6N20, ERSOLPV7N20</v>
      </c>
      <c r="G78" s="83" t="str">
        <f>G77</f>
        <v>ELCSOL</v>
      </c>
      <c r="H78" s="85" t="s">
        <v>285</v>
      </c>
      <c r="I78" s="92">
        <f>I77</f>
        <v>3.0833333333333415</v>
      </c>
      <c r="J78" s="77">
        <f t="shared" si="2"/>
        <v>3.0833333333333415</v>
      </c>
      <c r="K78" s="91"/>
      <c r="L78" s="83" t="str">
        <f>L77</f>
        <v>Solar PV</v>
      </c>
    </row>
    <row r="79" spans="2:27" ht="13.2">
      <c r="B79" s="87"/>
      <c r="C79" s="87" t="s">
        <v>48</v>
      </c>
      <c r="D79" s="88">
        <f>D78+1</f>
        <v>2040</v>
      </c>
      <c r="E79" s="88" t="s">
        <v>219</v>
      </c>
      <c r="F79" s="87" t="str">
        <f>F77</f>
        <v>ERSOLPVO3N-DKW, ERSOLPVO3N-DKE, ERSOLPV5N20, ERSOLPV6N20, ERSOLPV7N20</v>
      </c>
      <c r="G79" s="87" t="s">
        <v>54</v>
      </c>
      <c r="H79" s="89" t="s">
        <v>285</v>
      </c>
      <c r="I79" s="90">
        <v>0</v>
      </c>
      <c r="J79" s="77">
        <f t="shared" si="2"/>
        <v>0</v>
      </c>
      <c r="K79" s="87"/>
      <c r="L79" s="87" t="s">
        <v>260</v>
      </c>
      <c r="V79" s="13"/>
      <c r="W79" s="13"/>
      <c r="X79" s="13"/>
      <c r="Y79" s="13"/>
      <c r="Z79" s="13"/>
      <c r="AA79" s="13"/>
    </row>
    <row r="80" spans="2:27" ht="13.2">
      <c r="B80" s="83"/>
      <c r="C80" s="83" t="s">
        <v>48</v>
      </c>
      <c r="D80" s="84">
        <f>$B$126</f>
        <v>2025</v>
      </c>
      <c r="E80" s="84" t="s">
        <v>219</v>
      </c>
      <c r="F80" s="83" t="str">
        <f>E126&amp;", "&amp;F126</f>
        <v>ERSOLPVO4N-DKW, ERSOLPVO4N-DKE</v>
      </c>
      <c r="G80" s="83" t="s">
        <v>54</v>
      </c>
      <c r="H80" s="85" t="s">
        <v>285</v>
      </c>
      <c r="I80" s="86">
        <f>E23</f>
        <v>66.222222222222229</v>
      </c>
      <c r="J80" s="77">
        <f t="shared" si="2"/>
        <v>66.222222222222229</v>
      </c>
      <c r="K80" s="91"/>
      <c r="L80" s="83" t="s">
        <v>260</v>
      </c>
    </row>
    <row r="81" spans="2:13" ht="13.2">
      <c r="B81" s="83"/>
      <c r="C81" s="83" t="str">
        <f>C80</f>
        <v>FLO_SUB</v>
      </c>
      <c r="D81" s="84">
        <f>D80+9</f>
        <v>2034</v>
      </c>
      <c r="E81" s="84" t="str">
        <f>E80</f>
        <v>ELE</v>
      </c>
      <c r="F81" s="83" t="str">
        <f>F80</f>
        <v>ERSOLPVO4N-DKW, ERSOLPVO4N-DKE</v>
      </c>
      <c r="G81" s="83" t="str">
        <f>G80</f>
        <v>ELCSOL</v>
      </c>
      <c r="H81" s="85" t="s">
        <v>285</v>
      </c>
      <c r="I81" s="92">
        <f>I80</f>
        <v>66.222222222222229</v>
      </c>
      <c r="J81" s="77">
        <f t="shared" si="2"/>
        <v>66.222222222222229</v>
      </c>
      <c r="K81" s="91"/>
      <c r="L81" s="83" t="str">
        <f>L80</f>
        <v>Solar PV</v>
      </c>
    </row>
    <row r="82" spans="2:13" ht="13.2">
      <c r="B82" s="83"/>
      <c r="C82" s="83" t="s">
        <v>48</v>
      </c>
      <c r="D82" s="84">
        <f>D81+1</f>
        <v>2035</v>
      </c>
      <c r="E82" s="84" t="s">
        <v>219</v>
      </c>
      <c r="F82" s="83" t="str">
        <f>F80</f>
        <v>ERSOLPVO4N-DKW, ERSOLPVO4N-DKE</v>
      </c>
      <c r="G82" s="83" t="s">
        <v>54</v>
      </c>
      <c r="H82" s="85" t="s">
        <v>285</v>
      </c>
      <c r="I82" s="86">
        <f>E31</f>
        <v>0</v>
      </c>
      <c r="J82" s="77">
        <f t="shared" si="2"/>
        <v>0</v>
      </c>
      <c r="K82" s="83"/>
      <c r="L82" s="83" t="s">
        <v>260</v>
      </c>
      <c r="M82" s="10" t="s">
        <v>278</v>
      </c>
    </row>
    <row r="83" spans="2:13" ht="13.2">
      <c r="B83" s="83"/>
      <c r="C83" s="83" t="str">
        <f>C82</f>
        <v>FLO_SUB</v>
      </c>
      <c r="D83" s="84">
        <f>D81+10</f>
        <v>2044</v>
      </c>
      <c r="E83" s="84" t="str">
        <f>E82</f>
        <v>ELE</v>
      </c>
      <c r="F83" s="83" t="str">
        <f>F82</f>
        <v>ERSOLPVO4N-DKW, ERSOLPVO4N-DKE</v>
      </c>
      <c r="G83" s="83" t="str">
        <f>G82</f>
        <v>ELCSOL</v>
      </c>
      <c r="H83" s="85" t="s">
        <v>285</v>
      </c>
      <c r="I83" s="92">
        <f>I82</f>
        <v>0</v>
      </c>
      <c r="J83" s="77">
        <f t="shared" si="2"/>
        <v>0</v>
      </c>
      <c r="K83" s="91"/>
      <c r="L83" s="83" t="str">
        <f>L82</f>
        <v>Solar PV</v>
      </c>
    </row>
    <row r="84" spans="2:13" ht="13.2">
      <c r="B84" s="87"/>
      <c r="C84" s="87" t="s">
        <v>48</v>
      </c>
      <c r="D84" s="88">
        <f>D83+1</f>
        <v>2045</v>
      </c>
      <c r="E84" s="88" t="s">
        <v>219</v>
      </c>
      <c r="F84" s="87" t="str">
        <f>F82</f>
        <v>ERSOLPVO4N-DKW, ERSOLPVO4N-DKE</v>
      </c>
      <c r="G84" s="87" t="s">
        <v>54</v>
      </c>
      <c r="H84" s="89" t="s">
        <v>285</v>
      </c>
      <c r="I84" s="90">
        <v>0</v>
      </c>
      <c r="J84" s="77">
        <f t="shared" si="2"/>
        <v>0</v>
      </c>
      <c r="K84" s="87"/>
      <c r="L84" s="87" t="s">
        <v>260</v>
      </c>
    </row>
    <row r="85" spans="2:13" ht="13.2">
      <c r="B85" s="83"/>
      <c r="C85" s="83" t="s">
        <v>48</v>
      </c>
      <c r="D85" s="84">
        <f>$B$127</f>
        <v>2030</v>
      </c>
      <c r="E85" s="84" t="s">
        <v>219</v>
      </c>
      <c r="F85" s="83" t="str">
        <f>E127&amp;", "&amp;F127&amp;", "&amp;G127</f>
        <v>ERSOLPV5N30, ERSOLPV6N30, ERSOLPV7N30</v>
      </c>
      <c r="G85" s="83" t="s">
        <v>54</v>
      </c>
      <c r="H85" s="85" t="s">
        <v>285</v>
      </c>
      <c r="I85" s="86">
        <f>E24</f>
        <v>58.638888888888893</v>
      </c>
      <c r="J85" s="77">
        <f t="shared" si="2"/>
        <v>58.638888888888893</v>
      </c>
      <c r="K85" s="83"/>
      <c r="L85" s="83" t="s">
        <v>260</v>
      </c>
    </row>
    <row r="86" spans="2:13" ht="13.2">
      <c r="B86" s="83"/>
      <c r="C86" s="83" t="s">
        <v>48</v>
      </c>
      <c r="D86" s="84">
        <f>D85+9</f>
        <v>2039</v>
      </c>
      <c r="E86" s="84" t="s">
        <v>219</v>
      </c>
      <c r="F86" s="83" t="str">
        <f>F85</f>
        <v>ERSOLPV5N30, ERSOLPV6N30, ERSOLPV7N30</v>
      </c>
      <c r="G86" s="83" t="s">
        <v>54</v>
      </c>
      <c r="H86" s="85" t="s">
        <v>285</v>
      </c>
      <c r="I86" s="86">
        <f>I85</f>
        <v>58.638888888888893</v>
      </c>
      <c r="J86" s="77">
        <f t="shared" si="2"/>
        <v>58.638888888888893</v>
      </c>
      <c r="K86" s="83"/>
      <c r="L86" s="83" t="s">
        <v>260</v>
      </c>
    </row>
    <row r="87" spans="2:13" ht="13.2">
      <c r="B87" s="83"/>
      <c r="C87" s="83" t="s">
        <v>48</v>
      </c>
      <c r="D87" s="84">
        <f>D86+1</f>
        <v>2040</v>
      </c>
      <c r="E87" s="84" t="s">
        <v>219</v>
      </c>
      <c r="F87" s="83" t="str">
        <f>F86</f>
        <v>ERSOLPV5N30, ERSOLPV6N30, ERSOLPV7N30</v>
      </c>
      <c r="G87" s="83" t="s">
        <v>54</v>
      </c>
      <c r="H87" s="85" t="s">
        <v>285</v>
      </c>
      <c r="I87" s="86">
        <f>E31</f>
        <v>0</v>
      </c>
      <c r="J87" s="77">
        <f t="shared" si="2"/>
        <v>0</v>
      </c>
      <c r="K87" s="83"/>
      <c r="L87" s="83" t="s">
        <v>260</v>
      </c>
      <c r="M87" s="10" t="s">
        <v>278</v>
      </c>
    </row>
    <row r="88" spans="2:13" ht="13.2">
      <c r="B88" s="87"/>
      <c r="C88" s="87" t="s">
        <v>48</v>
      </c>
      <c r="D88" s="88">
        <v>2050</v>
      </c>
      <c r="E88" s="88" t="s">
        <v>219</v>
      </c>
      <c r="F88" s="87" t="str">
        <f>F85</f>
        <v>ERSOLPV5N30, ERSOLPV6N30, ERSOLPV7N30</v>
      </c>
      <c r="G88" s="87" t="str">
        <f>G85</f>
        <v>ELCSOL</v>
      </c>
      <c r="H88" s="89" t="s">
        <v>285</v>
      </c>
      <c r="I88" s="90">
        <f>I87</f>
        <v>0</v>
      </c>
      <c r="J88" s="77">
        <f t="shared" si="2"/>
        <v>0</v>
      </c>
      <c r="K88" s="87"/>
      <c r="L88" s="87" t="s">
        <v>260</v>
      </c>
    </row>
    <row r="89" spans="2:13" ht="13.8" thickBot="1">
      <c r="B89" s="115"/>
      <c r="C89" s="115" t="s">
        <v>48</v>
      </c>
      <c r="D89" s="116">
        <f>$B$128</f>
        <v>2050</v>
      </c>
      <c r="E89" s="116" t="s">
        <v>219</v>
      </c>
      <c r="F89" s="115" t="str">
        <f>E128&amp;", "&amp;F128&amp;", "&amp;G128</f>
        <v>ERSOLPV5N50, ERSOLPV6N50, ERSOLPV7N50</v>
      </c>
      <c r="G89" s="115" t="s">
        <v>54</v>
      </c>
      <c r="H89" s="117" t="s">
        <v>285</v>
      </c>
      <c r="I89" s="118">
        <f>E25</f>
        <v>28.305555555555561</v>
      </c>
      <c r="J89" s="77">
        <f t="shared" si="2"/>
        <v>28.305555555555561</v>
      </c>
      <c r="K89" s="115"/>
      <c r="L89" s="115" t="s">
        <v>260</v>
      </c>
    </row>
    <row r="90" spans="2:13" ht="13.2">
      <c r="B90" s="139"/>
      <c r="C90" s="140" t="s">
        <v>48</v>
      </c>
      <c r="D90" s="140">
        <f>$B$124</f>
        <v>2015</v>
      </c>
      <c r="E90" s="141" t="s">
        <v>219</v>
      </c>
      <c r="F90" s="139" t="str">
        <f>I124</f>
        <v>ERWAV115N</v>
      </c>
      <c r="G90" s="140" t="s">
        <v>286</v>
      </c>
      <c r="H90" s="142" t="s">
        <v>285</v>
      </c>
      <c r="I90" s="143">
        <f>E21</f>
        <v>81.3888888888889</v>
      </c>
      <c r="J90" s="77">
        <f t="shared" si="2"/>
        <v>81.3888888888889</v>
      </c>
      <c r="K90" s="139"/>
      <c r="L90" s="140" t="s">
        <v>287</v>
      </c>
    </row>
    <row r="91" spans="2:13" ht="13.2">
      <c r="B91" s="139"/>
      <c r="C91" s="140" t="str">
        <f>C90</f>
        <v>FLO_SUB</v>
      </c>
      <c r="D91" s="140">
        <f>D90+9</f>
        <v>2024</v>
      </c>
      <c r="E91" s="141" t="str">
        <f>E90</f>
        <v>ELE</v>
      </c>
      <c r="F91" s="139" t="str">
        <f>F90</f>
        <v>ERWAV115N</v>
      </c>
      <c r="G91" s="140" t="s">
        <v>286</v>
      </c>
      <c r="H91" s="142" t="s">
        <v>285</v>
      </c>
      <c r="I91" s="143">
        <f>E22</f>
        <v>73.805555555555557</v>
      </c>
      <c r="J91" s="77">
        <f t="shared" si="2"/>
        <v>73.805555555555557</v>
      </c>
      <c r="K91" s="139"/>
      <c r="L91" s="140" t="s">
        <v>287</v>
      </c>
    </row>
    <row r="92" spans="2:13" ht="13.2">
      <c r="B92" s="139"/>
      <c r="C92" s="140" t="s">
        <v>48</v>
      </c>
      <c r="D92" s="140">
        <f>D91+1</f>
        <v>2025</v>
      </c>
      <c r="E92" s="141" t="s">
        <v>219</v>
      </c>
      <c r="F92" s="139" t="str">
        <f>F90</f>
        <v>ERWAV115N</v>
      </c>
      <c r="G92" s="140" t="s">
        <v>286</v>
      </c>
      <c r="H92" s="142" t="s">
        <v>285</v>
      </c>
      <c r="I92" s="143">
        <f>E29</f>
        <v>10.666666666666677</v>
      </c>
      <c r="J92" s="77">
        <f t="shared" si="2"/>
        <v>10.666666666666677</v>
      </c>
      <c r="K92" s="139"/>
      <c r="L92" s="140" t="s">
        <v>287</v>
      </c>
      <c r="M92" s="10" t="s">
        <v>278</v>
      </c>
    </row>
    <row r="93" spans="2:13" ht="13.2">
      <c r="B93" s="139"/>
      <c r="C93" s="140" t="str">
        <f>C92</f>
        <v>FLO_SUB</v>
      </c>
      <c r="D93" s="140">
        <f>D91+10</f>
        <v>2034</v>
      </c>
      <c r="E93" s="141" t="str">
        <f>E92</f>
        <v>ELE</v>
      </c>
      <c r="F93" s="139" t="str">
        <f>F92</f>
        <v>ERWAV115N</v>
      </c>
      <c r="G93" s="140" t="s">
        <v>286</v>
      </c>
      <c r="H93" s="142" t="s">
        <v>285</v>
      </c>
      <c r="I93" s="143">
        <f>E30</f>
        <v>3.0833333333333415</v>
      </c>
      <c r="J93" s="77">
        <f t="shared" si="2"/>
        <v>3.0833333333333415</v>
      </c>
      <c r="K93" s="139"/>
      <c r="L93" s="140" t="s">
        <v>287</v>
      </c>
    </row>
    <row r="94" spans="2:13" ht="13.2">
      <c r="B94" s="144"/>
      <c r="C94" s="144" t="s">
        <v>48</v>
      </c>
      <c r="D94" s="144">
        <f>D93+1</f>
        <v>2035</v>
      </c>
      <c r="E94" s="145" t="s">
        <v>219</v>
      </c>
      <c r="F94" s="144" t="str">
        <f>F92</f>
        <v>ERWAV115N</v>
      </c>
      <c r="G94" s="144" t="s">
        <v>286</v>
      </c>
      <c r="H94" s="146" t="s">
        <v>285</v>
      </c>
      <c r="I94" s="144">
        <v>0</v>
      </c>
      <c r="J94" s="77">
        <f t="shared" si="2"/>
        <v>0</v>
      </c>
      <c r="K94" s="144"/>
      <c r="L94" s="144" t="s">
        <v>287</v>
      </c>
    </row>
    <row r="95" spans="2:13" ht="13.2">
      <c r="B95" s="139"/>
      <c r="C95" s="140" t="s">
        <v>48</v>
      </c>
      <c r="D95" s="140">
        <f>$B$125</f>
        <v>2020</v>
      </c>
      <c r="E95" s="141" t="s">
        <v>219</v>
      </c>
      <c r="F95" s="139" t="str">
        <f>I125</f>
        <v>ERWAV120N</v>
      </c>
      <c r="G95" s="140" t="s">
        <v>286</v>
      </c>
      <c r="H95" s="142" t="s">
        <v>285</v>
      </c>
      <c r="I95" s="143">
        <f>E22</f>
        <v>73.805555555555557</v>
      </c>
      <c r="J95" s="77">
        <f t="shared" si="2"/>
        <v>73.805555555555557</v>
      </c>
      <c r="K95" s="139"/>
      <c r="L95" s="140" t="s">
        <v>287</v>
      </c>
    </row>
    <row r="96" spans="2:13" ht="13.2">
      <c r="B96" s="139"/>
      <c r="C96" s="140" t="str">
        <f>C95</f>
        <v>FLO_SUB</v>
      </c>
      <c r="D96" s="140">
        <f>D95+9</f>
        <v>2029</v>
      </c>
      <c r="E96" s="141" t="str">
        <f>E95</f>
        <v>ELE</v>
      </c>
      <c r="F96" s="140" t="str">
        <f>F95</f>
        <v>ERWAV120N</v>
      </c>
      <c r="G96" s="140" t="s">
        <v>286</v>
      </c>
      <c r="H96" s="142" t="s">
        <v>285</v>
      </c>
      <c r="I96" s="143">
        <f>E23</f>
        <v>66.222222222222229</v>
      </c>
      <c r="J96" s="77">
        <f t="shared" si="2"/>
        <v>66.222222222222229</v>
      </c>
      <c r="K96" s="139"/>
      <c r="L96" s="140" t="s">
        <v>287</v>
      </c>
    </row>
    <row r="97" spans="2:13" ht="13.2">
      <c r="B97" s="139"/>
      <c r="C97" s="140" t="s">
        <v>48</v>
      </c>
      <c r="D97" s="140">
        <f>D96+1</f>
        <v>2030</v>
      </c>
      <c r="E97" s="141" t="s">
        <v>219</v>
      </c>
      <c r="F97" s="139" t="str">
        <f>F95</f>
        <v>ERWAV120N</v>
      </c>
      <c r="G97" s="140" t="s">
        <v>286</v>
      </c>
      <c r="H97" s="142" t="s">
        <v>285</v>
      </c>
      <c r="I97" s="143">
        <f>E30</f>
        <v>3.0833333333333415</v>
      </c>
      <c r="J97" s="77">
        <f t="shared" si="2"/>
        <v>3.0833333333333415</v>
      </c>
      <c r="K97" s="139"/>
      <c r="L97" s="140" t="s">
        <v>287</v>
      </c>
      <c r="M97" s="10" t="s">
        <v>278</v>
      </c>
    </row>
    <row r="98" spans="2:13" ht="13.2">
      <c r="B98" s="139"/>
      <c r="C98" s="140" t="str">
        <f>C97</f>
        <v>FLO_SUB</v>
      </c>
      <c r="D98" s="140">
        <f>D96+10</f>
        <v>2039</v>
      </c>
      <c r="E98" s="141" t="str">
        <f>E97</f>
        <v>ELE</v>
      </c>
      <c r="F98" s="140" t="str">
        <f>F97</f>
        <v>ERWAV120N</v>
      </c>
      <c r="G98" s="140" t="s">
        <v>286</v>
      </c>
      <c r="H98" s="142" t="s">
        <v>285</v>
      </c>
      <c r="I98" s="143">
        <f>E30</f>
        <v>3.0833333333333415</v>
      </c>
      <c r="J98" s="77">
        <f t="shared" si="2"/>
        <v>3.0833333333333415</v>
      </c>
      <c r="K98" s="139"/>
      <c r="L98" s="140" t="s">
        <v>287</v>
      </c>
    </row>
    <row r="99" spans="2:13" ht="13.2">
      <c r="B99" s="144"/>
      <c r="C99" s="144" t="s">
        <v>48</v>
      </c>
      <c r="D99" s="144">
        <f>D98+1</f>
        <v>2040</v>
      </c>
      <c r="E99" s="145" t="s">
        <v>219</v>
      </c>
      <c r="F99" s="144" t="str">
        <f>F97</f>
        <v>ERWAV120N</v>
      </c>
      <c r="G99" s="144" t="s">
        <v>286</v>
      </c>
      <c r="H99" s="146" t="s">
        <v>285</v>
      </c>
      <c r="I99" s="147">
        <f>E31</f>
        <v>0</v>
      </c>
      <c r="J99" s="77">
        <f t="shared" si="2"/>
        <v>0</v>
      </c>
      <c r="K99" s="144"/>
      <c r="L99" s="144" t="s">
        <v>287</v>
      </c>
    </row>
    <row r="100" spans="2:13" ht="13.2">
      <c r="B100" s="140"/>
      <c r="C100" s="140" t="s">
        <v>48</v>
      </c>
      <c r="D100" s="140">
        <f>$B$126</f>
        <v>2025</v>
      </c>
      <c r="E100" s="141" t="s">
        <v>219</v>
      </c>
      <c r="F100" s="139" t="str">
        <f>I126</f>
        <v>ERWAV125N</v>
      </c>
      <c r="G100" s="140" t="s">
        <v>286</v>
      </c>
      <c r="H100" s="142" t="s">
        <v>285</v>
      </c>
      <c r="I100" s="148">
        <f>E23</f>
        <v>66.222222222222229</v>
      </c>
      <c r="J100" s="77">
        <f t="shared" si="2"/>
        <v>66.222222222222229</v>
      </c>
      <c r="K100" s="139"/>
      <c r="L100" s="140" t="s">
        <v>287</v>
      </c>
    </row>
    <row r="101" spans="2:13" ht="13.2">
      <c r="B101" s="140"/>
      <c r="C101" s="140" t="str">
        <f>C100</f>
        <v>FLO_SUB</v>
      </c>
      <c r="D101" s="140">
        <f>D100+9</f>
        <v>2034</v>
      </c>
      <c r="E101" s="141" t="str">
        <f>E100</f>
        <v>ELE</v>
      </c>
      <c r="F101" s="140" t="str">
        <f>F100</f>
        <v>ERWAV125N</v>
      </c>
      <c r="G101" s="140" t="s">
        <v>286</v>
      </c>
      <c r="H101" s="142" t="s">
        <v>285</v>
      </c>
      <c r="I101" s="143">
        <f>E24</f>
        <v>58.638888888888893</v>
      </c>
      <c r="J101" s="77">
        <f t="shared" si="2"/>
        <v>58.638888888888893</v>
      </c>
      <c r="K101" s="139"/>
      <c r="L101" s="140" t="s">
        <v>287</v>
      </c>
    </row>
    <row r="102" spans="2:13" ht="13.2">
      <c r="B102" s="140"/>
      <c r="C102" s="140" t="s">
        <v>48</v>
      </c>
      <c r="D102" s="140">
        <f>D101+1</f>
        <v>2035</v>
      </c>
      <c r="E102" s="141" t="s">
        <v>219</v>
      </c>
      <c r="F102" s="140" t="str">
        <f>F100</f>
        <v>ERWAV125N</v>
      </c>
      <c r="G102" s="140" t="s">
        <v>286</v>
      </c>
      <c r="H102" s="142" t="s">
        <v>285</v>
      </c>
      <c r="I102" s="148">
        <f>E30</f>
        <v>3.0833333333333415</v>
      </c>
      <c r="J102" s="77">
        <f t="shared" si="2"/>
        <v>3.0833333333333415</v>
      </c>
      <c r="K102" s="140"/>
      <c r="L102" s="140" t="s">
        <v>287</v>
      </c>
      <c r="M102" s="10" t="s">
        <v>278</v>
      </c>
    </row>
    <row r="103" spans="2:13" ht="13.2">
      <c r="B103" s="140"/>
      <c r="C103" s="140" t="str">
        <f>C102</f>
        <v>FLO_SUB</v>
      </c>
      <c r="D103" s="140">
        <f>D101+10</f>
        <v>2044</v>
      </c>
      <c r="E103" s="141" t="str">
        <f>E102</f>
        <v>ELE</v>
      </c>
      <c r="F103" s="140" t="str">
        <f>F102</f>
        <v>ERWAV125N</v>
      </c>
      <c r="G103" s="140" t="s">
        <v>286</v>
      </c>
      <c r="H103" s="142" t="s">
        <v>285</v>
      </c>
      <c r="I103" s="143">
        <f>E30</f>
        <v>3.0833333333333415</v>
      </c>
      <c r="J103" s="77">
        <f t="shared" ref="J103:J110" si="3">I103</f>
        <v>3.0833333333333415</v>
      </c>
      <c r="K103" s="139"/>
      <c r="L103" s="140" t="s">
        <v>287</v>
      </c>
    </row>
    <row r="104" spans="2:13" ht="13.2">
      <c r="B104" s="144"/>
      <c r="C104" s="144" t="s">
        <v>48</v>
      </c>
      <c r="D104" s="144">
        <f>D103+1</f>
        <v>2045</v>
      </c>
      <c r="E104" s="145" t="s">
        <v>219</v>
      </c>
      <c r="F104" s="144" t="str">
        <f>F102</f>
        <v>ERWAV125N</v>
      </c>
      <c r="G104" s="144" t="s">
        <v>286</v>
      </c>
      <c r="H104" s="146" t="s">
        <v>285</v>
      </c>
      <c r="I104" s="147">
        <f>C31</f>
        <v>0</v>
      </c>
      <c r="J104" s="77">
        <f t="shared" si="3"/>
        <v>0</v>
      </c>
      <c r="K104" s="144"/>
      <c r="L104" s="144" t="s">
        <v>287</v>
      </c>
    </row>
    <row r="105" spans="2:13" ht="13.2">
      <c r="B105" s="140"/>
      <c r="C105" s="140" t="s">
        <v>48</v>
      </c>
      <c r="D105" s="141">
        <v>2030</v>
      </c>
      <c r="E105" s="141" t="s">
        <v>219</v>
      </c>
      <c r="F105" s="139" t="str">
        <f>I127</f>
        <v>ERWAV130N</v>
      </c>
      <c r="G105" s="140" t="s">
        <v>286</v>
      </c>
      <c r="H105" s="142" t="s">
        <v>285</v>
      </c>
      <c r="I105" s="148">
        <f>E24</f>
        <v>58.638888888888893</v>
      </c>
      <c r="J105" s="77">
        <f t="shared" si="3"/>
        <v>58.638888888888893</v>
      </c>
      <c r="K105" s="140"/>
      <c r="L105" s="140" t="s">
        <v>287</v>
      </c>
    </row>
    <row r="106" spans="2:13" ht="13.2">
      <c r="B106" s="140"/>
      <c r="C106" s="140" t="s">
        <v>48</v>
      </c>
      <c r="D106" s="141">
        <v>2039</v>
      </c>
      <c r="E106" s="141" t="s">
        <v>219</v>
      </c>
      <c r="F106" s="140" t="str">
        <f>F105</f>
        <v>ERWAV130N</v>
      </c>
      <c r="G106" s="140" t="s">
        <v>286</v>
      </c>
      <c r="H106" s="142" t="s">
        <v>285</v>
      </c>
      <c r="I106" s="143">
        <f>E24</f>
        <v>58.638888888888893</v>
      </c>
      <c r="J106" s="77">
        <f t="shared" si="3"/>
        <v>58.638888888888893</v>
      </c>
      <c r="K106" s="140"/>
      <c r="L106" s="140" t="s">
        <v>287</v>
      </c>
    </row>
    <row r="107" spans="2:13" ht="13.2">
      <c r="B107" s="140"/>
      <c r="C107" s="140" t="s">
        <v>48</v>
      </c>
      <c r="D107" s="141">
        <v>2040</v>
      </c>
      <c r="E107" s="141" t="s">
        <v>219</v>
      </c>
      <c r="F107" s="140" t="str">
        <f>F106</f>
        <v>ERWAV130N</v>
      </c>
      <c r="G107" s="140" t="s">
        <v>286</v>
      </c>
      <c r="H107" s="142" t="s">
        <v>285</v>
      </c>
      <c r="I107" s="148">
        <f>E30</f>
        <v>3.0833333333333415</v>
      </c>
      <c r="J107" s="77">
        <f t="shared" si="3"/>
        <v>3.0833333333333415</v>
      </c>
      <c r="K107" s="140"/>
      <c r="L107" s="140" t="s">
        <v>287</v>
      </c>
      <c r="M107" s="10" t="s">
        <v>278</v>
      </c>
    </row>
    <row r="108" spans="2:13" ht="13.2">
      <c r="B108" s="140"/>
      <c r="C108" s="140" t="s">
        <v>48</v>
      </c>
      <c r="D108" s="141">
        <v>2049</v>
      </c>
      <c r="E108" s="141" t="s">
        <v>219</v>
      </c>
      <c r="F108" s="140" t="str">
        <f>F105</f>
        <v>ERWAV130N</v>
      </c>
      <c r="G108" s="140" t="s">
        <v>286</v>
      </c>
      <c r="H108" s="142" t="s">
        <v>285</v>
      </c>
      <c r="I108" s="148">
        <f>E30</f>
        <v>3.0833333333333415</v>
      </c>
      <c r="J108" s="77">
        <f t="shared" si="3"/>
        <v>3.0833333333333415</v>
      </c>
      <c r="K108" s="140"/>
      <c r="L108" s="140" t="s">
        <v>287</v>
      </c>
    </row>
    <row r="109" spans="2:13" ht="13.2">
      <c r="B109" s="144"/>
      <c r="C109" s="144" t="s">
        <v>48</v>
      </c>
      <c r="D109" s="145">
        <v>2050</v>
      </c>
      <c r="E109" s="145" t="s">
        <v>219</v>
      </c>
      <c r="F109" s="144" t="str">
        <f>F106</f>
        <v>ERWAV130N</v>
      </c>
      <c r="G109" s="144" t="s">
        <v>286</v>
      </c>
      <c r="H109" s="146" t="s">
        <v>285</v>
      </c>
      <c r="I109" s="147">
        <f>E31</f>
        <v>0</v>
      </c>
      <c r="J109" s="77">
        <f t="shared" si="3"/>
        <v>0</v>
      </c>
      <c r="K109" s="144"/>
      <c r="L109" s="144" t="s">
        <v>287</v>
      </c>
    </row>
    <row r="110" spans="2:13" ht="13.2">
      <c r="B110" s="140"/>
      <c r="C110" s="140" t="s">
        <v>48</v>
      </c>
      <c r="D110" s="141">
        <v>2050</v>
      </c>
      <c r="E110" s="141" t="s">
        <v>219</v>
      </c>
      <c r="F110" s="139" t="str">
        <f>I128</f>
        <v>ERWAV150N</v>
      </c>
      <c r="G110" s="140" t="s">
        <v>286</v>
      </c>
      <c r="H110" s="142" t="s">
        <v>285</v>
      </c>
      <c r="I110" s="148">
        <f>E25</f>
        <v>28.305555555555561</v>
      </c>
      <c r="J110" s="77">
        <f t="shared" si="3"/>
        <v>28.305555555555561</v>
      </c>
      <c r="K110" s="140"/>
      <c r="L110" s="140" t="s">
        <v>287</v>
      </c>
    </row>
    <row r="111" spans="2:13">
      <c r="I111" s="14"/>
      <c r="J111" s="14"/>
    </row>
    <row r="112" spans="2:13">
      <c r="I112" s="14"/>
      <c r="J112" s="14"/>
    </row>
    <row r="113" spans="2:15">
      <c r="I113" s="14"/>
      <c r="J113" s="14"/>
    </row>
    <row r="114" spans="2:15">
      <c r="I114" s="14"/>
      <c r="J114" s="14"/>
    </row>
    <row r="115" spans="2:15">
      <c r="I115" s="14"/>
      <c r="J115" s="14"/>
    </row>
    <row r="120" spans="2:15">
      <c r="B120" t="s">
        <v>275</v>
      </c>
      <c r="G120" s="102" t="s">
        <v>276</v>
      </c>
      <c r="H120" s="17">
        <v>42573</v>
      </c>
    </row>
    <row r="121" spans="2:15">
      <c r="B121" s="13" t="s">
        <v>264</v>
      </c>
    </row>
    <row r="122" spans="2:15">
      <c r="B122" s="13" t="s">
        <v>258</v>
      </c>
    </row>
    <row r="123" spans="2:15">
      <c r="B123">
        <v>2010</v>
      </c>
      <c r="C123" t="s">
        <v>245</v>
      </c>
      <c r="D123" t="s">
        <v>246</v>
      </c>
      <c r="E123" t="s">
        <v>247</v>
      </c>
    </row>
    <row r="124" spans="2:15">
      <c r="B124">
        <v>2015</v>
      </c>
      <c r="C124" t="s">
        <v>225</v>
      </c>
      <c r="D124" t="s">
        <v>229</v>
      </c>
      <c r="E124" t="s">
        <v>233</v>
      </c>
      <c r="F124" t="s">
        <v>237</v>
      </c>
      <c r="G124" t="s">
        <v>241</v>
      </c>
      <c r="I124" t="s">
        <v>288</v>
      </c>
    </row>
    <row r="125" spans="2:15">
      <c r="B125">
        <v>2020</v>
      </c>
      <c r="C125" t="s">
        <v>248</v>
      </c>
      <c r="D125" t="s">
        <v>249</v>
      </c>
      <c r="E125" t="s">
        <v>251</v>
      </c>
      <c r="F125" t="s">
        <v>252</v>
      </c>
      <c r="G125" t="s">
        <v>253</v>
      </c>
      <c r="H125" t="s">
        <v>250</v>
      </c>
      <c r="I125" t="s">
        <v>289</v>
      </c>
      <c r="K125" t="s">
        <v>226</v>
      </c>
      <c r="L125" t="s">
        <v>230</v>
      </c>
      <c r="M125" t="s">
        <v>234</v>
      </c>
      <c r="N125" t="s">
        <v>238</v>
      </c>
      <c r="O125" t="s">
        <v>242</v>
      </c>
    </row>
    <row r="126" spans="2:15">
      <c r="B126">
        <v>2025</v>
      </c>
      <c r="C126" t="s">
        <v>254</v>
      </c>
      <c r="D126" t="s">
        <v>256</v>
      </c>
      <c r="E126" t="s">
        <v>257</v>
      </c>
      <c r="F126" t="s">
        <v>255</v>
      </c>
      <c r="I126" t="s">
        <v>290</v>
      </c>
    </row>
    <row r="127" spans="2:15">
      <c r="B127">
        <v>2030</v>
      </c>
      <c r="C127" t="s">
        <v>227</v>
      </c>
      <c r="D127" t="s">
        <v>231</v>
      </c>
      <c r="E127" t="s">
        <v>235</v>
      </c>
      <c r="F127" t="s">
        <v>239</v>
      </c>
      <c r="G127" t="s">
        <v>243</v>
      </c>
      <c r="I127" t="s">
        <v>291</v>
      </c>
    </row>
    <row r="128" spans="2:15">
      <c r="B128">
        <v>2050</v>
      </c>
      <c r="C128" t="s">
        <v>228</v>
      </c>
      <c r="D128" t="s">
        <v>232</v>
      </c>
      <c r="E128" t="s">
        <v>236</v>
      </c>
      <c r="F128" t="s">
        <v>240</v>
      </c>
      <c r="G128" t="s">
        <v>244</v>
      </c>
      <c r="I128" t="s">
        <v>292</v>
      </c>
    </row>
  </sheetData>
  <mergeCells count="2">
    <mergeCell ref="H7:K7"/>
    <mergeCell ref="C7:D7"/>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Ark7">
    <tabColor rgb="FF00B0F0"/>
  </sheetPr>
  <dimension ref="B2:M640"/>
  <sheetViews>
    <sheetView topLeftCell="A7" workbookViewId="0">
      <selection activeCell="F39" sqref="F39"/>
    </sheetView>
  </sheetViews>
  <sheetFormatPr defaultRowHeight="12.6"/>
  <cols>
    <col min="1" max="1" width="3.88671875" customWidth="1"/>
    <col min="2" max="3" width="14.33203125" customWidth="1"/>
    <col min="4" max="4" width="5.109375" bestFit="1" customWidth="1"/>
    <col min="5" max="5" width="14.33203125" customWidth="1"/>
    <col min="6" max="6" width="16.44140625" bestFit="1" customWidth="1"/>
    <col min="7" max="7" width="6.44140625" bestFit="1" customWidth="1"/>
    <col min="8" max="8" width="10.6640625" bestFit="1" customWidth="1"/>
    <col min="9" max="9" width="10.6640625" customWidth="1"/>
    <col min="12" max="13" width="22.44140625" customWidth="1"/>
    <col min="14" max="14" width="14.109375" bestFit="1" customWidth="1"/>
    <col min="17" max="17" width="13.44140625" bestFit="1" customWidth="1"/>
    <col min="18" max="18" width="13.109375" bestFit="1" customWidth="1"/>
  </cols>
  <sheetData>
    <row r="2" spans="2:13" ht="23.4">
      <c r="B2" s="25" t="s">
        <v>108</v>
      </c>
    </row>
    <row r="4" spans="2:13" ht="22.8">
      <c r="B4" s="31" t="s">
        <v>66</v>
      </c>
    </row>
    <row r="5" spans="2:13">
      <c r="B5" s="32" t="s">
        <v>87</v>
      </c>
      <c r="C5" s="32"/>
      <c r="D5" s="32"/>
      <c r="E5" s="32"/>
      <c r="F5" s="32"/>
      <c r="G5" s="40"/>
      <c r="H5" s="40"/>
      <c r="I5" s="40"/>
      <c r="J5" s="40"/>
      <c r="K5" s="40"/>
    </row>
    <row r="6" spans="2:13">
      <c r="B6" s="32">
        <v>0.72</v>
      </c>
      <c r="C6" s="32" t="s">
        <v>85</v>
      </c>
      <c r="D6" s="32"/>
      <c r="E6" s="32"/>
      <c r="F6" s="32"/>
      <c r="G6" s="40"/>
      <c r="H6" s="40"/>
      <c r="I6" s="40"/>
      <c r="J6" s="40"/>
      <c r="K6" s="40"/>
    </row>
    <row r="7" spans="2:13">
      <c r="B7" s="32">
        <f>1-B6</f>
        <v>0.28000000000000003</v>
      </c>
      <c r="C7" s="32" t="s">
        <v>86</v>
      </c>
      <c r="D7" s="32"/>
      <c r="E7" s="32"/>
      <c r="F7" s="32"/>
      <c r="G7" s="40"/>
      <c r="H7" s="40"/>
      <c r="I7" s="40"/>
      <c r="J7" s="40"/>
      <c r="K7" s="40"/>
    </row>
    <row r="8" spans="2:13">
      <c r="B8" s="32" t="s">
        <v>83</v>
      </c>
      <c r="C8" s="33">
        <f>1/1.2</f>
        <v>0.83333333333333337</v>
      </c>
      <c r="D8" s="32"/>
      <c r="E8" s="32"/>
      <c r="F8" s="32"/>
      <c r="G8" s="40"/>
      <c r="H8" s="40"/>
      <c r="I8" s="40"/>
      <c r="J8" s="40"/>
      <c r="K8" s="40"/>
    </row>
    <row r="9" spans="2:13">
      <c r="B9" s="32"/>
      <c r="C9" s="32"/>
      <c r="D9" s="32"/>
      <c r="E9" s="32"/>
      <c r="F9" s="32"/>
      <c r="G9" s="40"/>
      <c r="H9" s="40"/>
      <c r="I9" s="40"/>
      <c r="J9" s="40"/>
      <c r="K9" s="40"/>
    </row>
    <row r="10" spans="2:13">
      <c r="B10" s="36">
        <f>B6*C8</f>
        <v>0.6</v>
      </c>
      <c r="C10" s="32" t="s">
        <v>68</v>
      </c>
      <c r="D10" s="32"/>
      <c r="E10" s="32"/>
      <c r="F10" s="32"/>
      <c r="G10" s="40"/>
      <c r="H10" s="40"/>
      <c r="I10" s="40"/>
      <c r="J10" s="40"/>
      <c r="K10" s="40"/>
    </row>
    <row r="11" spans="2:13">
      <c r="C11" s="32" t="s">
        <v>185</v>
      </c>
    </row>
    <row r="14" spans="2:13" ht="14.4">
      <c r="B14" s="2" t="s">
        <v>90</v>
      </c>
      <c r="C14" s="1"/>
      <c r="D14" s="1"/>
      <c r="E14" s="1"/>
      <c r="F14" s="1"/>
      <c r="G14" s="1"/>
      <c r="H14" s="1"/>
      <c r="I14" s="1"/>
    </row>
    <row r="15" spans="2:13" ht="13.8" thickBot="1">
      <c r="B15" s="3" t="s">
        <v>4</v>
      </c>
      <c r="C15" s="3" t="s">
        <v>5</v>
      </c>
      <c r="D15" s="3" t="s">
        <v>1</v>
      </c>
      <c r="E15" s="5" t="s">
        <v>7</v>
      </c>
      <c r="F15" s="5" t="s">
        <v>6</v>
      </c>
      <c r="G15" s="18" t="s">
        <v>43</v>
      </c>
      <c r="H15" s="4" t="s">
        <v>432</v>
      </c>
      <c r="I15" s="275" t="s">
        <v>433</v>
      </c>
      <c r="K15" s="4" t="s">
        <v>150</v>
      </c>
    </row>
    <row r="16" spans="2:13" ht="15.75" customHeight="1">
      <c r="C16" t="s">
        <v>8</v>
      </c>
      <c r="D16" s="37">
        <v>2010</v>
      </c>
      <c r="E16" t="s">
        <v>94</v>
      </c>
      <c r="F16" t="s">
        <v>186</v>
      </c>
      <c r="G16" s="30" t="s">
        <v>297</v>
      </c>
      <c r="H16" s="38">
        <f>HLOOKUP(K16,FuelTax2,D16-2006,FALSE)*$B$10</f>
        <v>35.355480573398125</v>
      </c>
      <c r="I16" s="38">
        <f>H16</f>
        <v>35.355480573398125</v>
      </c>
      <c r="K16" t="s">
        <v>9</v>
      </c>
      <c r="M16" s="13" t="s">
        <v>187</v>
      </c>
    </row>
    <row r="17" spans="3:11" ht="13.2">
      <c r="C17" t="s">
        <v>8</v>
      </c>
      <c r="D17">
        <v>2011</v>
      </c>
      <c r="E17" t="s">
        <v>94</v>
      </c>
      <c r="F17" t="s">
        <v>186</v>
      </c>
      <c r="G17" s="30" t="s">
        <v>297</v>
      </c>
      <c r="H17" s="38">
        <f t="shared" ref="H17:H83" si="0">HLOOKUP(K17,FuelTax2,D17-2006,FALSE)*$B$10</f>
        <v>35.079558172097755</v>
      </c>
      <c r="I17" s="38">
        <f t="shared" ref="I17:I58" si="1">H17</f>
        <v>35.079558172097755</v>
      </c>
      <c r="K17" t="s">
        <v>9</v>
      </c>
    </row>
    <row r="18" spans="3:11" ht="13.2">
      <c r="C18" t="s">
        <v>8</v>
      </c>
      <c r="D18">
        <v>2010</v>
      </c>
      <c r="E18" t="s">
        <v>94</v>
      </c>
      <c r="F18" t="s">
        <v>186</v>
      </c>
      <c r="G18" s="30" t="s">
        <v>297</v>
      </c>
      <c r="H18" s="38">
        <f t="shared" si="0"/>
        <v>35.355480573398125</v>
      </c>
      <c r="I18" s="38">
        <f t="shared" si="1"/>
        <v>35.355480573398125</v>
      </c>
      <c r="K18" t="s">
        <v>9</v>
      </c>
    </row>
    <row r="19" spans="3:11" ht="13.2">
      <c r="C19" t="s">
        <v>8</v>
      </c>
      <c r="D19">
        <v>2011</v>
      </c>
      <c r="E19" t="s">
        <v>94</v>
      </c>
      <c r="F19" t="s">
        <v>186</v>
      </c>
      <c r="G19" s="30" t="s">
        <v>297</v>
      </c>
      <c r="H19" s="38">
        <f t="shared" si="0"/>
        <v>35.079558172097755</v>
      </c>
      <c r="I19" s="38">
        <f t="shared" si="1"/>
        <v>35.079558172097755</v>
      </c>
      <c r="K19" t="s">
        <v>9</v>
      </c>
    </row>
    <row r="20" spans="3:11" ht="13.2">
      <c r="C20" t="s">
        <v>8</v>
      </c>
      <c r="D20">
        <v>2012</v>
      </c>
      <c r="E20" t="s">
        <v>94</v>
      </c>
      <c r="F20" t="s">
        <v>186</v>
      </c>
      <c r="G20" s="30" t="s">
        <v>297</v>
      </c>
      <c r="H20" s="38">
        <f t="shared" si="0"/>
        <v>35.090374720427818</v>
      </c>
      <c r="I20" s="38">
        <f t="shared" si="1"/>
        <v>35.090374720427818</v>
      </c>
      <c r="K20" t="s">
        <v>9</v>
      </c>
    </row>
    <row r="21" spans="3:11" ht="13.2">
      <c r="C21" t="s">
        <v>8</v>
      </c>
      <c r="D21">
        <v>2013</v>
      </c>
      <c r="E21" t="s">
        <v>94</v>
      </c>
      <c r="F21" t="s">
        <v>186</v>
      </c>
      <c r="G21" s="30" t="s">
        <v>297</v>
      </c>
      <c r="H21" s="38">
        <f t="shared" si="0"/>
        <v>35.397598889545286</v>
      </c>
      <c r="I21" s="38">
        <f t="shared" si="1"/>
        <v>35.397598889545286</v>
      </c>
      <c r="K21" t="s">
        <v>9</v>
      </c>
    </row>
    <row r="22" spans="3:11" ht="13.2">
      <c r="C22" t="s">
        <v>8</v>
      </c>
      <c r="D22">
        <v>2014</v>
      </c>
      <c r="E22" t="s">
        <v>94</v>
      </c>
      <c r="F22" t="s">
        <v>186</v>
      </c>
      <c r="G22" s="30" t="s">
        <v>297</v>
      </c>
      <c r="H22" s="38">
        <f t="shared" si="0"/>
        <v>35.758594704684313</v>
      </c>
      <c r="I22" s="38">
        <f t="shared" si="1"/>
        <v>35.758594704684313</v>
      </c>
      <c r="K22" t="s">
        <v>9</v>
      </c>
    </row>
    <row r="23" spans="3:11" ht="13.2">
      <c r="C23" t="s">
        <v>8</v>
      </c>
      <c r="D23">
        <v>2015</v>
      </c>
      <c r="E23" t="s">
        <v>94</v>
      </c>
      <c r="F23" t="s">
        <v>186</v>
      </c>
      <c r="G23" s="30" t="s">
        <v>297</v>
      </c>
      <c r="H23" s="38">
        <f t="shared" si="0"/>
        <v>32.94</v>
      </c>
      <c r="I23" s="38">
        <f t="shared" si="1"/>
        <v>32.94</v>
      </c>
      <c r="K23" t="s">
        <v>9</v>
      </c>
    </row>
    <row r="24" spans="3:11" ht="13.2">
      <c r="C24" t="s">
        <v>8</v>
      </c>
      <c r="D24">
        <v>2016</v>
      </c>
      <c r="E24" t="s">
        <v>94</v>
      </c>
      <c r="F24" t="s">
        <v>186</v>
      </c>
      <c r="G24" s="30" t="s">
        <v>297</v>
      </c>
      <c r="H24" s="38">
        <f t="shared" si="0"/>
        <v>32.94</v>
      </c>
      <c r="I24" s="38">
        <f t="shared" si="1"/>
        <v>32.94</v>
      </c>
      <c r="K24" t="s">
        <v>9</v>
      </c>
    </row>
    <row r="25" spans="3:11" ht="13.2">
      <c r="C25" t="s">
        <v>8</v>
      </c>
      <c r="D25">
        <v>2017</v>
      </c>
      <c r="E25" t="s">
        <v>94</v>
      </c>
      <c r="F25" t="s">
        <v>186</v>
      </c>
      <c r="G25" s="30" t="s">
        <v>297</v>
      </c>
      <c r="H25" s="38">
        <f t="shared" si="0"/>
        <v>32.94</v>
      </c>
      <c r="I25" s="38">
        <f t="shared" si="1"/>
        <v>32.94</v>
      </c>
      <c r="K25" t="s">
        <v>9</v>
      </c>
    </row>
    <row r="26" spans="3:11" ht="13.2">
      <c r="C26" t="s">
        <v>8</v>
      </c>
      <c r="D26">
        <v>2018</v>
      </c>
      <c r="E26" t="s">
        <v>94</v>
      </c>
      <c r="F26" t="s">
        <v>186</v>
      </c>
      <c r="G26" s="30" t="s">
        <v>297</v>
      </c>
      <c r="H26" s="38">
        <f t="shared" si="0"/>
        <v>32.94</v>
      </c>
      <c r="I26" s="38">
        <f t="shared" si="1"/>
        <v>32.94</v>
      </c>
      <c r="K26" t="s">
        <v>9</v>
      </c>
    </row>
    <row r="27" spans="3:11" ht="13.2">
      <c r="C27" t="s">
        <v>8</v>
      </c>
      <c r="D27">
        <v>2019</v>
      </c>
      <c r="E27" t="s">
        <v>94</v>
      </c>
      <c r="F27" t="s">
        <v>186</v>
      </c>
      <c r="G27" s="30" t="s">
        <v>297</v>
      </c>
      <c r="H27" s="38">
        <f t="shared" si="0"/>
        <v>32.94</v>
      </c>
      <c r="I27" s="38">
        <f t="shared" si="1"/>
        <v>32.94</v>
      </c>
      <c r="K27" t="s">
        <v>9</v>
      </c>
    </row>
    <row r="28" spans="3:11" ht="13.2">
      <c r="C28" t="s">
        <v>8</v>
      </c>
      <c r="D28">
        <v>2020</v>
      </c>
      <c r="E28" t="s">
        <v>94</v>
      </c>
      <c r="F28" t="s">
        <v>186</v>
      </c>
      <c r="G28" s="30" t="s">
        <v>297</v>
      </c>
      <c r="H28" s="38">
        <f t="shared" si="0"/>
        <v>32.94</v>
      </c>
      <c r="I28" s="38">
        <f t="shared" si="1"/>
        <v>32.94</v>
      </c>
      <c r="K28" t="s">
        <v>9</v>
      </c>
    </row>
    <row r="29" spans="3:11" ht="13.2">
      <c r="C29" t="s">
        <v>8</v>
      </c>
      <c r="D29">
        <v>2021</v>
      </c>
      <c r="E29" t="s">
        <v>94</v>
      </c>
      <c r="F29" t="s">
        <v>186</v>
      </c>
      <c r="G29" s="30" t="s">
        <v>297</v>
      </c>
      <c r="H29" s="38">
        <f t="shared" si="0"/>
        <v>32.94</v>
      </c>
      <c r="I29" s="38">
        <f t="shared" si="1"/>
        <v>32.94</v>
      </c>
      <c r="K29" t="s">
        <v>9</v>
      </c>
    </row>
    <row r="30" spans="3:11" ht="13.2">
      <c r="C30" t="s">
        <v>8</v>
      </c>
      <c r="D30">
        <v>2022</v>
      </c>
      <c r="E30" t="s">
        <v>94</v>
      </c>
      <c r="F30" t="s">
        <v>186</v>
      </c>
      <c r="G30" s="30" t="s">
        <v>297</v>
      </c>
      <c r="H30" s="38">
        <f t="shared" si="0"/>
        <v>32.94</v>
      </c>
      <c r="I30" s="38">
        <f t="shared" si="1"/>
        <v>32.94</v>
      </c>
      <c r="K30" t="s">
        <v>9</v>
      </c>
    </row>
    <row r="31" spans="3:11" ht="13.2">
      <c r="C31" t="s">
        <v>8</v>
      </c>
      <c r="D31">
        <v>2023</v>
      </c>
      <c r="E31" t="s">
        <v>94</v>
      </c>
      <c r="F31" t="s">
        <v>186</v>
      </c>
      <c r="G31" s="30" t="s">
        <v>297</v>
      </c>
      <c r="H31" s="38">
        <f t="shared" si="0"/>
        <v>32.94</v>
      </c>
      <c r="I31" s="38">
        <f t="shared" si="1"/>
        <v>32.94</v>
      </c>
      <c r="K31" t="s">
        <v>9</v>
      </c>
    </row>
    <row r="32" spans="3:11" ht="13.2">
      <c r="C32" t="s">
        <v>8</v>
      </c>
      <c r="D32">
        <v>2024</v>
      </c>
      <c r="E32" t="s">
        <v>94</v>
      </c>
      <c r="F32" t="s">
        <v>186</v>
      </c>
      <c r="G32" s="30" t="s">
        <v>297</v>
      </c>
      <c r="H32" s="38">
        <f t="shared" si="0"/>
        <v>32.94</v>
      </c>
      <c r="I32" s="38">
        <f t="shared" si="1"/>
        <v>32.94</v>
      </c>
      <c r="K32" t="s">
        <v>9</v>
      </c>
    </row>
    <row r="33" spans="3:11" ht="13.2">
      <c r="C33" t="s">
        <v>8</v>
      </c>
      <c r="D33">
        <v>2025</v>
      </c>
      <c r="E33" t="s">
        <v>94</v>
      </c>
      <c r="F33" t="s">
        <v>186</v>
      </c>
      <c r="G33" s="30" t="s">
        <v>297</v>
      </c>
      <c r="H33" s="38">
        <f t="shared" si="0"/>
        <v>32.94</v>
      </c>
      <c r="I33" s="38">
        <f t="shared" si="1"/>
        <v>32.94</v>
      </c>
      <c r="K33" t="s">
        <v>9</v>
      </c>
    </row>
    <row r="34" spans="3:11" ht="13.2">
      <c r="C34" t="s">
        <v>8</v>
      </c>
      <c r="D34">
        <v>2026</v>
      </c>
      <c r="E34" t="s">
        <v>94</v>
      </c>
      <c r="F34" t="s">
        <v>186</v>
      </c>
      <c r="G34" s="30" t="s">
        <v>297</v>
      </c>
      <c r="H34" s="38">
        <f t="shared" si="0"/>
        <v>32.94</v>
      </c>
      <c r="I34" s="38">
        <f t="shared" si="1"/>
        <v>32.94</v>
      </c>
      <c r="K34" t="s">
        <v>9</v>
      </c>
    </row>
    <row r="35" spans="3:11" ht="13.2">
      <c r="C35" t="s">
        <v>8</v>
      </c>
      <c r="D35">
        <v>2027</v>
      </c>
      <c r="E35" t="s">
        <v>94</v>
      </c>
      <c r="F35" t="s">
        <v>186</v>
      </c>
      <c r="G35" s="30" t="s">
        <v>297</v>
      </c>
      <c r="H35" s="38">
        <f t="shared" si="0"/>
        <v>32.94</v>
      </c>
      <c r="I35" s="38">
        <f t="shared" si="1"/>
        <v>32.94</v>
      </c>
      <c r="K35" t="s">
        <v>9</v>
      </c>
    </row>
    <row r="36" spans="3:11" ht="13.2">
      <c r="C36" t="s">
        <v>8</v>
      </c>
      <c r="D36">
        <v>2028</v>
      </c>
      <c r="E36" t="s">
        <v>94</v>
      </c>
      <c r="F36" t="s">
        <v>186</v>
      </c>
      <c r="G36" s="30" t="s">
        <v>297</v>
      </c>
      <c r="H36" s="38">
        <f t="shared" si="0"/>
        <v>32.94</v>
      </c>
      <c r="I36" s="38">
        <f t="shared" si="1"/>
        <v>32.94</v>
      </c>
      <c r="K36" t="s">
        <v>9</v>
      </c>
    </row>
    <row r="37" spans="3:11" ht="13.2">
      <c r="C37" t="s">
        <v>8</v>
      </c>
      <c r="D37">
        <v>2029</v>
      </c>
      <c r="E37" t="s">
        <v>94</v>
      </c>
      <c r="F37" t="s">
        <v>186</v>
      </c>
      <c r="G37" s="30" t="s">
        <v>297</v>
      </c>
      <c r="H37" s="38">
        <f t="shared" si="0"/>
        <v>32.94</v>
      </c>
      <c r="I37" s="38">
        <f t="shared" si="1"/>
        <v>32.94</v>
      </c>
      <c r="K37" t="s">
        <v>9</v>
      </c>
    </row>
    <row r="38" spans="3:11" ht="13.2">
      <c r="C38" t="s">
        <v>8</v>
      </c>
      <c r="D38">
        <v>2030</v>
      </c>
      <c r="E38" t="s">
        <v>94</v>
      </c>
      <c r="F38" t="s">
        <v>186</v>
      </c>
      <c r="G38" s="30" t="s">
        <v>297</v>
      </c>
      <c r="H38" s="38">
        <f t="shared" si="0"/>
        <v>32.94</v>
      </c>
      <c r="I38" s="38">
        <f t="shared" si="1"/>
        <v>32.94</v>
      </c>
      <c r="K38" t="s">
        <v>9</v>
      </c>
    </row>
    <row r="39" spans="3:11" ht="13.2">
      <c r="C39" t="s">
        <v>8</v>
      </c>
      <c r="D39">
        <v>2031</v>
      </c>
      <c r="E39" t="s">
        <v>94</v>
      </c>
      <c r="F39" t="s">
        <v>186</v>
      </c>
      <c r="G39" s="30" t="s">
        <v>297</v>
      </c>
      <c r="H39" s="38">
        <f t="shared" si="0"/>
        <v>32.94</v>
      </c>
      <c r="I39" s="38">
        <f t="shared" si="1"/>
        <v>32.94</v>
      </c>
      <c r="K39" t="s">
        <v>9</v>
      </c>
    </row>
    <row r="40" spans="3:11" ht="13.2">
      <c r="C40" t="s">
        <v>8</v>
      </c>
      <c r="D40">
        <v>2032</v>
      </c>
      <c r="E40" t="s">
        <v>94</v>
      </c>
      <c r="F40" t="s">
        <v>186</v>
      </c>
      <c r="G40" s="30" t="s">
        <v>297</v>
      </c>
      <c r="H40" s="38">
        <f t="shared" si="0"/>
        <v>32.94</v>
      </c>
      <c r="I40" s="38">
        <f t="shared" si="1"/>
        <v>32.94</v>
      </c>
      <c r="K40" t="s">
        <v>9</v>
      </c>
    </row>
    <row r="41" spans="3:11" ht="13.2">
      <c r="C41" t="s">
        <v>8</v>
      </c>
      <c r="D41">
        <v>2033</v>
      </c>
      <c r="E41" t="s">
        <v>94</v>
      </c>
      <c r="F41" t="s">
        <v>186</v>
      </c>
      <c r="G41" s="30" t="s">
        <v>297</v>
      </c>
      <c r="H41" s="38">
        <f t="shared" si="0"/>
        <v>32.94</v>
      </c>
      <c r="I41" s="38">
        <f t="shared" si="1"/>
        <v>32.94</v>
      </c>
      <c r="K41" t="s">
        <v>9</v>
      </c>
    </row>
    <row r="42" spans="3:11" ht="13.2">
      <c r="C42" t="s">
        <v>8</v>
      </c>
      <c r="D42">
        <v>2034</v>
      </c>
      <c r="E42" t="s">
        <v>94</v>
      </c>
      <c r="F42" t="s">
        <v>186</v>
      </c>
      <c r="G42" s="30" t="s">
        <v>297</v>
      </c>
      <c r="H42" s="38">
        <f t="shared" si="0"/>
        <v>32.94</v>
      </c>
      <c r="I42" s="38">
        <f t="shared" si="1"/>
        <v>32.94</v>
      </c>
      <c r="K42" t="s">
        <v>9</v>
      </c>
    </row>
    <row r="43" spans="3:11" ht="13.2">
      <c r="C43" t="s">
        <v>8</v>
      </c>
      <c r="D43">
        <v>2035</v>
      </c>
      <c r="E43" t="s">
        <v>94</v>
      </c>
      <c r="F43" t="s">
        <v>186</v>
      </c>
      <c r="G43" s="30" t="s">
        <v>297</v>
      </c>
      <c r="H43" s="38">
        <f t="shared" si="0"/>
        <v>32.94</v>
      </c>
      <c r="I43" s="38">
        <f t="shared" si="1"/>
        <v>32.94</v>
      </c>
      <c r="K43" t="s">
        <v>9</v>
      </c>
    </row>
    <row r="44" spans="3:11" ht="13.2">
      <c r="C44" t="s">
        <v>8</v>
      </c>
      <c r="D44">
        <v>2036</v>
      </c>
      <c r="E44" t="s">
        <v>94</v>
      </c>
      <c r="F44" t="s">
        <v>186</v>
      </c>
      <c r="G44" s="30" t="s">
        <v>297</v>
      </c>
      <c r="H44" s="38">
        <f t="shared" si="0"/>
        <v>32.94</v>
      </c>
      <c r="I44" s="38">
        <f t="shared" si="1"/>
        <v>32.94</v>
      </c>
      <c r="K44" t="s">
        <v>9</v>
      </c>
    </row>
    <row r="45" spans="3:11" ht="13.2">
      <c r="C45" t="s">
        <v>8</v>
      </c>
      <c r="D45">
        <v>2037</v>
      </c>
      <c r="E45" t="s">
        <v>94</v>
      </c>
      <c r="F45" t="s">
        <v>186</v>
      </c>
      <c r="G45" s="30" t="s">
        <v>297</v>
      </c>
      <c r="H45" s="38">
        <f t="shared" si="0"/>
        <v>32.94</v>
      </c>
      <c r="I45" s="38">
        <f t="shared" si="1"/>
        <v>32.94</v>
      </c>
      <c r="K45" t="s">
        <v>9</v>
      </c>
    </row>
    <row r="46" spans="3:11" ht="13.2">
      <c r="C46" t="s">
        <v>8</v>
      </c>
      <c r="D46">
        <v>2038</v>
      </c>
      <c r="E46" t="s">
        <v>94</v>
      </c>
      <c r="F46" t="s">
        <v>186</v>
      </c>
      <c r="G46" s="30" t="s">
        <v>297</v>
      </c>
      <c r="H46" s="38">
        <f t="shared" si="0"/>
        <v>32.94</v>
      </c>
      <c r="I46" s="38">
        <f t="shared" si="1"/>
        <v>32.94</v>
      </c>
      <c r="K46" t="s">
        <v>9</v>
      </c>
    </row>
    <row r="47" spans="3:11" ht="13.2">
      <c r="C47" t="s">
        <v>8</v>
      </c>
      <c r="D47">
        <v>2039</v>
      </c>
      <c r="E47" t="s">
        <v>94</v>
      </c>
      <c r="F47" t="s">
        <v>186</v>
      </c>
      <c r="G47" s="30" t="s">
        <v>297</v>
      </c>
      <c r="H47" s="38">
        <f t="shared" si="0"/>
        <v>32.94</v>
      </c>
      <c r="I47" s="38">
        <f t="shared" si="1"/>
        <v>32.94</v>
      </c>
      <c r="K47" t="s">
        <v>9</v>
      </c>
    </row>
    <row r="48" spans="3:11" ht="13.2">
      <c r="C48" t="s">
        <v>8</v>
      </c>
      <c r="D48">
        <v>2040</v>
      </c>
      <c r="E48" t="s">
        <v>94</v>
      </c>
      <c r="F48" t="s">
        <v>186</v>
      </c>
      <c r="G48" s="30" t="s">
        <v>297</v>
      </c>
      <c r="H48" s="38">
        <f t="shared" si="0"/>
        <v>32.94</v>
      </c>
      <c r="I48" s="38">
        <f t="shared" si="1"/>
        <v>32.94</v>
      </c>
      <c r="K48" t="s">
        <v>9</v>
      </c>
    </row>
    <row r="49" spans="2:11" ht="13.2">
      <c r="C49" t="s">
        <v>8</v>
      </c>
      <c r="D49">
        <v>2041</v>
      </c>
      <c r="E49" t="s">
        <v>94</v>
      </c>
      <c r="F49" t="s">
        <v>186</v>
      </c>
      <c r="G49" s="30" t="s">
        <v>297</v>
      </c>
      <c r="H49" s="38">
        <f t="shared" si="0"/>
        <v>32.94</v>
      </c>
      <c r="I49" s="38">
        <f t="shared" si="1"/>
        <v>32.94</v>
      </c>
      <c r="K49" t="s">
        <v>9</v>
      </c>
    </row>
    <row r="50" spans="2:11" ht="13.2">
      <c r="C50" t="s">
        <v>8</v>
      </c>
      <c r="D50">
        <v>2042</v>
      </c>
      <c r="E50" t="s">
        <v>94</v>
      </c>
      <c r="F50" t="s">
        <v>186</v>
      </c>
      <c r="G50" s="30" t="s">
        <v>297</v>
      </c>
      <c r="H50" s="38">
        <f t="shared" si="0"/>
        <v>32.94</v>
      </c>
      <c r="I50" s="38">
        <f t="shared" si="1"/>
        <v>32.94</v>
      </c>
      <c r="K50" t="s">
        <v>9</v>
      </c>
    </row>
    <row r="51" spans="2:11" ht="13.2">
      <c r="C51" t="s">
        <v>8</v>
      </c>
      <c r="D51">
        <v>2043</v>
      </c>
      <c r="E51" t="s">
        <v>94</v>
      </c>
      <c r="F51" t="s">
        <v>186</v>
      </c>
      <c r="G51" s="30" t="s">
        <v>297</v>
      </c>
      <c r="H51" s="38">
        <f t="shared" si="0"/>
        <v>32.94</v>
      </c>
      <c r="I51" s="38">
        <f t="shared" si="1"/>
        <v>32.94</v>
      </c>
      <c r="K51" t="s">
        <v>9</v>
      </c>
    </row>
    <row r="52" spans="2:11" ht="13.2">
      <c r="C52" t="s">
        <v>8</v>
      </c>
      <c r="D52">
        <v>2044</v>
      </c>
      <c r="E52" t="s">
        <v>94</v>
      </c>
      <c r="F52" t="s">
        <v>186</v>
      </c>
      <c r="G52" s="30" t="s">
        <v>297</v>
      </c>
      <c r="H52" s="38">
        <f t="shared" si="0"/>
        <v>32.94</v>
      </c>
      <c r="I52" s="38">
        <f t="shared" si="1"/>
        <v>32.94</v>
      </c>
      <c r="K52" t="s">
        <v>9</v>
      </c>
    </row>
    <row r="53" spans="2:11" ht="13.2">
      <c r="C53" t="s">
        <v>8</v>
      </c>
      <c r="D53">
        <v>2045</v>
      </c>
      <c r="E53" t="s">
        <v>94</v>
      </c>
      <c r="F53" t="s">
        <v>186</v>
      </c>
      <c r="G53" s="30" t="s">
        <v>297</v>
      </c>
      <c r="H53" s="38">
        <f t="shared" si="0"/>
        <v>32.94</v>
      </c>
      <c r="I53" s="38">
        <f t="shared" si="1"/>
        <v>32.94</v>
      </c>
      <c r="K53" t="s">
        <v>9</v>
      </c>
    </row>
    <row r="54" spans="2:11" ht="13.2">
      <c r="C54" t="s">
        <v>8</v>
      </c>
      <c r="D54">
        <v>2046</v>
      </c>
      <c r="E54" t="s">
        <v>94</v>
      </c>
      <c r="F54" t="s">
        <v>186</v>
      </c>
      <c r="G54" s="30" t="s">
        <v>297</v>
      </c>
      <c r="H54" s="38">
        <f t="shared" si="0"/>
        <v>32.94</v>
      </c>
      <c r="I54" s="38">
        <f t="shared" si="1"/>
        <v>32.94</v>
      </c>
      <c r="K54" t="s">
        <v>9</v>
      </c>
    </row>
    <row r="55" spans="2:11" ht="13.2">
      <c r="C55" t="s">
        <v>8</v>
      </c>
      <c r="D55">
        <v>2047</v>
      </c>
      <c r="E55" t="s">
        <v>94</v>
      </c>
      <c r="F55" t="s">
        <v>186</v>
      </c>
      <c r="G55" s="30" t="s">
        <v>297</v>
      </c>
      <c r="H55" s="38">
        <f t="shared" si="0"/>
        <v>32.94</v>
      </c>
      <c r="I55" s="38">
        <f t="shared" si="1"/>
        <v>32.94</v>
      </c>
      <c r="K55" t="s">
        <v>9</v>
      </c>
    </row>
    <row r="56" spans="2:11" ht="13.2">
      <c r="C56" t="s">
        <v>8</v>
      </c>
      <c r="D56">
        <v>2048</v>
      </c>
      <c r="E56" t="s">
        <v>94</v>
      </c>
      <c r="F56" t="s">
        <v>186</v>
      </c>
      <c r="G56" s="30" t="s">
        <v>297</v>
      </c>
      <c r="H56" s="38">
        <f t="shared" si="0"/>
        <v>32.94</v>
      </c>
      <c r="I56" s="38">
        <f t="shared" si="1"/>
        <v>32.94</v>
      </c>
      <c r="K56" t="s">
        <v>9</v>
      </c>
    </row>
    <row r="57" spans="2:11" ht="13.2">
      <c r="C57" t="s">
        <v>8</v>
      </c>
      <c r="D57">
        <v>2049</v>
      </c>
      <c r="E57" t="s">
        <v>94</v>
      </c>
      <c r="F57" t="s">
        <v>186</v>
      </c>
      <c r="G57" s="30" t="s">
        <v>297</v>
      </c>
      <c r="H57" s="38">
        <f t="shared" si="0"/>
        <v>32.94</v>
      </c>
      <c r="I57" s="38">
        <f t="shared" si="1"/>
        <v>32.94</v>
      </c>
      <c r="K57" t="s">
        <v>9</v>
      </c>
    </row>
    <row r="58" spans="2:11" ht="13.2">
      <c r="B58" s="7"/>
      <c r="C58" s="7" t="s">
        <v>8</v>
      </c>
      <c r="D58" s="7">
        <v>2050</v>
      </c>
      <c r="E58" s="7" t="s">
        <v>94</v>
      </c>
      <c r="F58" s="7" t="s">
        <v>186</v>
      </c>
      <c r="G58" s="35" t="s">
        <v>297</v>
      </c>
      <c r="H58" s="46">
        <f t="shared" si="0"/>
        <v>32.94</v>
      </c>
      <c r="I58" s="38">
        <f t="shared" si="1"/>
        <v>32.94</v>
      </c>
      <c r="K58" t="s">
        <v>9</v>
      </c>
    </row>
    <row r="59" spans="2:11" ht="13.2">
      <c r="B59" s="9"/>
      <c r="C59" s="9"/>
      <c r="D59" s="9"/>
      <c r="E59" s="9"/>
      <c r="F59" s="9"/>
      <c r="G59" s="30"/>
      <c r="H59" s="47"/>
      <c r="I59" s="47"/>
    </row>
    <row r="60" spans="2:11" ht="13.2">
      <c r="B60" s="9"/>
      <c r="C60" s="9"/>
      <c r="D60" s="9"/>
      <c r="E60" s="9"/>
      <c r="F60" s="9"/>
      <c r="G60" s="30"/>
      <c r="H60" s="47"/>
      <c r="I60" s="47"/>
    </row>
    <row r="61" spans="2:11" ht="13.2">
      <c r="B61" s="9"/>
      <c r="C61" s="9"/>
      <c r="D61" s="9"/>
      <c r="E61" s="9"/>
      <c r="F61" s="9"/>
      <c r="G61" s="30"/>
      <c r="H61" s="47"/>
      <c r="I61" s="47"/>
    </row>
    <row r="62" spans="2:11" ht="13.2">
      <c r="B62" s="9"/>
      <c r="C62" s="9"/>
      <c r="D62" s="9"/>
      <c r="E62" s="9"/>
      <c r="F62" s="9"/>
      <c r="G62" s="30"/>
      <c r="H62" s="47"/>
      <c r="I62" s="47"/>
    </row>
    <row r="63" spans="2:11" ht="13.2">
      <c r="C63" t="s">
        <v>8</v>
      </c>
      <c r="D63">
        <v>2010</v>
      </c>
      <c r="E63" t="s">
        <v>95</v>
      </c>
      <c r="F63" t="s">
        <v>9</v>
      </c>
      <c r="G63" s="30" t="s">
        <v>297</v>
      </c>
      <c r="H63" s="38">
        <f>HLOOKUP(K63,FuelTax2,D63-2006,FALSE)*$B$10</f>
        <v>35.355480573398125</v>
      </c>
      <c r="I63" s="38">
        <f>H63</f>
        <v>35.355480573398125</v>
      </c>
      <c r="K63" t="str">
        <f t="shared" ref="K63:K84" si="2">IF(LEFT(F63,1)="E",F63,"ELC"&amp;F63)</f>
        <v>ELCNGA</v>
      </c>
    </row>
    <row r="64" spans="2:11" ht="13.2">
      <c r="C64" t="s">
        <v>8</v>
      </c>
      <c r="D64">
        <v>2011</v>
      </c>
      <c r="E64" t="s">
        <v>95</v>
      </c>
      <c r="F64" t="s">
        <v>9</v>
      </c>
      <c r="G64" s="30" t="s">
        <v>297</v>
      </c>
      <c r="H64" s="38">
        <f t="shared" si="0"/>
        <v>35.079558172097755</v>
      </c>
      <c r="I64" s="38">
        <f t="shared" ref="I64:I127" si="3">H64</f>
        <v>35.079558172097755</v>
      </c>
      <c r="K64" t="str">
        <f t="shared" si="2"/>
        <v>ELCNGA</v>
      </c>
    </row>
    <row r="65" spans="3:11" ht="13.2">
      <c r="C65" t="s">
        <v>8</v>
      </c>
      <c r="D65">
        <v>2012</v>
      </c>
      <c r="E65" t="s">
        <v>95</v>
      </c>
      <c r="F65" t="s">
        <v>9</v>
      </c>
      <c r="G65" s="30" t="s">
        <v>297</v>
      </c>
      <c r="H65" s="38">
        <f t="shared" si="0"/>
        <v>35.090374720427818</v>
      </c>
      <c r="I65" s="38">
        <f t="shared" si="3"/>
        <v>35.090374720427818</v>
      </c>
      <c r="K65" t="str">
        <f t="shared" si="2"/>
        <v>ELCNGA</v>
      </c>
    </row>
    <row r="66" spans="3:11" ht="13.2">
      <c r="C66" t="s">
        <v>8</v>
      </c>
      <c r="D66">
        <v>2013</v>
      </c>
      <c r="E66" t="s">
        <v>95</v>
      </c>
      <c r="F66" t="s">
        <v>9</v>
      </c>
      <c r="G66" s="30" t="s">
        <v>297</v>
      </c>
      <c r="H66" s="38">
        <f t="shared" si="0"/>
        <v>35.397598889545286</v>
      </c>
      <c r="I66" s="38">
        <f t="shared" si="3"/>
        <v>35.397598889545286</v>
      </c>
      <c r="K66" t="str">
        <f t="shared" si="2"/>
        <v>ELCNGA</v>
      </c>
    </row>
    <row r="67" spans="3:11" ht="13.2">
      <c r="C67" t="s">
        <v>8</v>
      </c>
      <c r="D67">
        <v>2014</v>
      </c>
      <c r="E67" t="s">
        <v>95</v>
      </c>
      <c r="F67" t="s">
        <v>9</v>
      </c>
      <c r="G67" s="30" t="s">
        <v>297</v>
      </c>
      <c r="H67" s="38">
        <f t="shared" si="0"/>
        <v>35.758594704684313</v>
      </c>
      <c r="I67" s="38">
        <f t="shared" si="3"/>
        <v>35.758594704684313</v>
      </c>
      <c r="K67" t="str">
        <f t="shared" si="2"/>
        <v>ELCNGA</v>
      </c>
    </row>
    <row r="68" spans="3:11" ht="13.2">
      <c r="C68" t="s">
        <v>8</v>
      </c>
      <c r="D68">
        <v>2015</v>
      </c>
      <c r="E68" t="s">
        <v>95</v>
      </c>
      <c r="F68" t="s">
        <v>9</v>
      </c>
      <c r="G68" s="30" t="s">
        <v>297</v>
      </c>
      <c r="H68" s="38">
        <f t="shared" si="0"/>
        <v>32.94</v>
      </c>
      <c r="I68" s="38">
        <f t="shared" si="3"/>
        <v>32.94</v>
      </c>
      <c r="K68" t="str">
        <f t="shared" si="2"/>
        <v>ELCNGA</v>
      </c>
    </row>
    <row r="69" spans="3:11" ht="13.2">
      <c r="C69" t="s">
        <v>8</v>
      </c>
      <c r="D69">
        <v>2016</v>
      </c>
      <c r="E69" t="s">
        <v>95</v>
      </c>
      <c r="F69" t="s">
        <v>9</v>
      </c>
      <c r="G69" s="30" t="s">
        <v>297</v>
      </c>
      <c r="H69" s="38">
        <f t="shared" si="0"/>
        <v>32.94</v>
      </c>
      <c r="I69" s="38">
        <f t="shared" si="3"/>
        <v>32.94</v>
      </c>
      <c r="K69" t="str">
        <f t="shared" si="2"/>
        <v>ELCNGA</v>
      </c>
    </row>
    <row r="70" spans="3:11" ht="13.2">
      <c r="C70" t="s">
        <v>8</v>
      </c>
      <c r="D70">
        <v>2017</v>
      </c>
      <c r="E70" t="s">
        <v>95</v>
      </c>
      <c r="F70" t="s">
        <v>9</v>
      </c>
      <c r="G70" s="30" t="s">
        <v>297</v>
      </c>
      <c r="H70" s="38">
        <f t="shared" si="0"/>
        <v>32.94</v>
      </c>
      <c r="I70" s="38">
        <f t="shared" si="3"/>
        <v>32.94</v>
      </c>
      <c r="K70" t="str">
        <f t="shared" si="2"/>
        <v>ELCNGA</v>
      </c>
    </row>
    <row r="71" spans="3:11" ht="13.2">
      <c r="C71" t="s">
        <v>8</v>
      </c>
      <c r="D71">
        <v>2018</v>
      </c>
      <c r="E71" t="s">
        <v>95</v>
      </c>
      <c r="F71" t="s">
        <v>9</v>
      </c>
      <c r="G71" s="30" t="s">
        <v>297</v>
      </c>
      <c r="H71" s="38">
        <f t="shared" si="0"/>
        <v>32.94</v>
      </c>
      <c r="I71" s="38">
        <f t="shared" si="3"/>
        <v>32.94</v>
      </c>
      <c r="K71" t="str">
        <f t="shared" si="2"/>
        <v>ELCNGA</v>
      </c>
    </row>
    <row r="72" spans="3:11" ht="13.2">
      <c r="C72" t="s">
        <v>8</v>
      </c>
      <c r="D72">
        <v>2019</v>
      </c>
      <c r="E72" t="s">
        <v>95</v>
      </c>
      <c r="F72" t="s">
        <v>9</v>
      </c>
      <c r="G72" s="30" t="s">
        <v>297</v>
      </c>
      <c r="H72" s="38">
        <f t="shared" si="0"/>
        <v>32.94</v>
      </c>
      <c r="I72" s="38">
        <f t="shared" si="3"/>
        <v>32.94</v>
      </c>
      <c r="K72" t="str">
        <f t="shared" si="2"/>
        <v>ELCNGA</v>
      </c>
    </row>
    <row r="73" spans="3:11" ht="13.2">
      <c r="C73" t="s">
        <v>8</v>
      </c>
      <c r="D73">
        <v>2020</v>
      </c>
      <c r="E73" t="s">
        <v>95</v>
      </c>
      <c r="F73" t="s">
        <v>9</v>
      </c>
      <c r="G73" s="30" t="s">
        <v>297</v>
      </c>
      <c r="H73" s="38">
        <f t="shared" si="0"/>
        <v>32.94</v>
      </c>
      <c r="I73" s="38">
        <f t="shared" si="3"/>
        <v>32.94</v>
      </c>
      <c r="K73" t="str">
        <f t="shared" si="2"/>
        <v>ELCNGA</v>
      </c>
    </row>
    <row r="74" spans="3:11" ht="13.2">
      <c r="C74" t="s">
        <v>8</v>
      </c>
      <c r="D74">
        <v>2021</v>
      </c>
      <c r="E74" t="s">
        <v>95</v>
      </c>
      <c r="F74" t="s">
        <v>9</v>
      </c>
      <c r="G74" s="30" t="s">
        <v>297</v>
      </c>
      <c r="H74" s="38">
        <f t="shared" si="0"/>
        <v>32.94</v>
      </c>
      <c r="I74" s="38">
        <f t="shared" si="3"/>
        <v>32.94</v>
      </c>
      <c r="K74" t="str">
        <f t="shared" si="2"/>
        <v>ELCNGA</v>
      </c>
    </row>
    <row r="75" spans="3:11" ht="13.2">
      <c r="C75" t="s">
        <v>8</v>
      </c>
      <c r="D75">
        <v>2022</v>
      </c>
      <c r="E75" t="s">
        <v>95</v>
      </c>
      <c r="F75" t="s">
        <v>9</v>
      </c>
      <c r="G75" s="30" t="s">
        <v>297</v>
      </c>
      <c r="H75" s="38">
        <f t="shared" si="0"/>
        <v>32.94</v>
      </c>
      <c r="I75" s="38">
        <f t="shared" si="3"/>
        <v>32.94</v>
      </c>
      <c r="K75" t="str">
        <f t="shared" si="2"/>
        <v>ELCNGA</v>
      </c>
    </row>
    <row r="76" spans="3:11" ht="13.2">
      <c r="C76" t="s">
        <v>8</v>
      </c>
      <c r="D76">
        <v>2023</v>
      </c>
      <c r="E76" t="s">
        <v>95</v>
      </c>
      <c r="F76" t="s">
        <v>9</v>
      </c>
      <c r="G76" s="30" t="s">
        <v>297</v>
      </c>
      <c r="H76" s="38">
        <f t="shared" si="0"/>
        <v>32.94</v>
      </c>
      <c r="I76" s="38">
        <f t="shared" si="3"/>
        <v>32.94</v>
      </c>
      <c r="K76" t="str">
        <f t="shared" si="2"/>
        <v>ELCNGA</v>
      </c>
    </row>
    <row r="77" spans="3:11" ht="13.2">
      <c r="C77" t="s">
        <v>8</v>
      </c>
      <c r="D77">
        <v>2024</v>
      </c>
      <c r="E77" t="s">
        <v>95</v>
      </c>
      <c r="F77" t="s">
        <v>9</v>
      </c>
      <c r="G77" s="30" t="s">
        <v>297</v>
      </c>
      <c r="H77" s="38">
        <f t="shared" si="0"/>
        <v>32.94</v>
      </c>
      <c r="I77" s="38">
        <f t="shared" si="3"/>
        <v>32.94</v>
      </c>
      <c r="K77" t="str">
        <f t="shared" si="2"/>
        <v>ELCNGA</v>
      </c>
    </row>
    <row r="78" spans="3:11" ht="13.2">
      <c r="C78" t="s">
        <v>8</v>
      </c>
      <c r="D78">
        <v>2025</v>
      </c>
      <c r="E78" t="s">
        <v>95</v>
      </c>
      <c r="F78" t="s">
        <v>9</v>
      </c>
      <c r="G78" s="30" t="s">
        <v>297</v>
      </c>
      <c r="H78" s="38">
        <f t="shared" si="0"/>
        <v>32.94</v>
      </c>
      <c r="I78" s="38">
        <f t="shared" si="3"/>
        <v>32.94</v>
      </c>
      <c r="K78" t="str">
        <f t="shared" si="2"/>
        <v>ELCNGA</v>
      </c>
    </row>
    <row r="79" spans="3:11" ht="13.2">
      <c r="C79" t="s">
        <v>8</v>
      </c>
      <c r="D79">
        <v>2026</v>
      </c>
      <c r="E79" t="s">
        <v>95</v>
      </c>
      <c r="F79" t="s">
        <v>9</v>
      </c>
      <c r="G79" s="30" t="s">
        <v>297</v>
      </c>
      <c r="H79" s="38">
        <f t="shared" si="0"/>
        <v>32.94</v>
      </c>
      <c r="I79" s="38">
        <f t="shared" si="3"/>
        <v>32.94</v>
      </c>
      <c r="K79" t="str">
        <f t="shared" si="2"/>
        <v>ELCNGA</v>
      </c>
    </row>
    <row r="80" spans="3:11" ht="13.2">
      <c r="C80" t="s">
        <v>8</v>
      </c>
      <c r="D80">
        <v>2027</v>
      </c>
      <c r="E80" t="s">
        <v>95</v>
      </c>
      <c r="F80" t="s">
        <v>9</v>
      </c>
      <c r="G80" s="30" t="s">
        <v>297</v>
      </c>
      <c r="H80" s="38">
        <f t="shared" si="0"/>
        <v>32.94</v>
      </c>
      <c r="I80" s="38">
        <f t="shared" si="3"/>
        <v>32.94</v>
      </c>
      <c r="K80" t="str">
        <f t="shared" si="2"/>
        <v>ELCNGA</v>
      </c>
    </row>
    <row r="81" spans="3:11" ht="13.2">
      <c r="C81" t="s">
        <v>8</v>
      </c>
      <c r="D81">
        <v>2028</v>
      </c>
      <c r="E81" t="s">
        <v>95</v>
      </c>
      <c r="F81" t="s">
        <v>9</v>
      </c>
      <c r="G81" s="30" t="s">
        <v>297</v>
      </c>
      <c r="H81" s="38">
        <f t="shared" si="0"/>
        <v>32.94</v>
      </c>
      <c r="I81" s="38">
        <f t="shared" si="3"/>
        <v>32.94</v>
      </c>
      <c r="K81" t="str">
        <f t="shared" si="2"/>
        <v>ELCNGA</v>
      </c>
    </row>
    <row r="82" spans="3:11" ht="13.2">
      <c r="C82" t="s">
        <v>8</v>
      </c>
      <c r="D82">
        <v>2029</v>
      </c>
      <c r="E82" t="s">
        <v>95</v>
      </c>
      <c r="F82" t="s">
        <v>9</v>
      </c>
      <c r="G82" s="30" t="s">
        <v>297</v>
      </c>
      <c r="H82" s="38">
        <f t="shared" si="0"/>
        <v>32.94</v>
      </c>
      <c r="I82" s="38">
        <f t="shared" si="3"/>
        <v>32.94</v>
      </c>
      <c r="K82" t="str">
        <f t="shared" si="2"/>
        <v>ELCNGA</v>
      </c>
    </row>
    <row r="83" spans="3:11" ht="13.2">
      <c r="C83" t="s">
        <v>8</v>
      </c>
      <c r="D83">
        <v>2030</v>
      </c>
      <c r="E83" t="s">
        <v>95</v>
      </c>
      <c r="F83" t="s">
        <v>9</v>
      </c>
      <c r="G83" s="30" t="s">
        <v>297</v>
      </c>
      <c r="H83" s="38">
        <f t="shared" si="0"/>
        <v>32.94</v>
      </c>
      <c r="I83" s="38">
        <f t="shared" si="3"/>
        <v>32.94</v>
      </c>
      <c r="K83" t="str">
        <f t="shared" si="2"/>
        <v>ELCNGA</v>
      </c>
    </row>
    <row r="84" spans="3:11" ht="13.2">
      <c r="C84" t="s">
        <v>8</v>
      </c>
      <c r="D84">
        <v>2031</v>
      </c>
      <c r="E84" t="s">
        <v>95</v>
      </c>
      <c r="F84" t="s">
        <v>9</v>
      </c>
      <c r="G84" s="30" t="s">
        <v>297</v>
      </c>
      <c r="H84" s="38">
        <f t="shared" ref="H84:H147" si="4">HLOOKUP(K84,FuelTax2,D84-2006,FALSE)*$B$10</f>
        <v>32.94</v>
      </c>
      <c r="I84" s="38">
        <f t="shared" si="3"/>
        <v>32.94</v>
      </c>
      <c r="K84" t="str">
        <f t="shared" si="2"/>
        <v>ELCNGA</v>
      </c>
    </row>
    <row r="85" spans="3:11" ht="13.2">
      <c r="C85" t="s">
        <v>8</v>
      </c>
      <c r="D85">
        <v>2032</v>
      </c>
      <c r="E85" t="s">
        <v>95</v>
      </c>
      <c r="F85" t="s">
        <v>9</v>
      </c>
      <c r="G85" s="30" t="s">
        <v>297</v>
      </c>
      <c r="H85" s="38">
        <f t="shared" si="4"/>
        <v>32.94</v>
      </c>
      <c r="I85" s="38">
        <f t="shared" si="3"/>
        <v>32.94</v>
      </c>
      <c r="K85" t="str">
        <f t="shared" ref="K85:K148" si="5">IF(LEFT(F85,1)="E",F85,"ELC"&amp;F85)</f>
        <v>ELCNGA</v>
      </c>
    </row>
    <row r="86" spans="3:11" ht="13.2">
      <c r="C86" t="s">
        <v>8</v>
      </c>
      <c r="D86">
        <v>2033</v>
      </c>
      <c r="E86" t="s">
        <v>95</v>
      </c>
      <c r="F86" t="s">
        <v>9</v>
      </c>
      <c r="G86" s="30" t="s">
        <v>297</v>
      </c>
      <c r="H86" s="38">
        <f t="shared" si="4"/>
        <v>32.94</v>
      </c>
      <c r="I86" s="38">
        <f t="shared" si="3"/>
        <v>32.94</v>
      </c>
      <c r="K86" t="str">
        <f t="shared" si="5"/>
        <v>ELCNGA</v>
      </c>
    </row>
    <row r="87" spans="3:11" ht="13.2">
      <c r="C87" t="s">
        <v>8</v>
      </c>
      <c r="D87">
        <v>2034</v>
      </c>
      <c r="E87" t="s">
        <v>95</v>
      </c>
      <c r="F87" t="s">
        <v>9</v>
      </c>
      <c r="G87" s="30" t="s">
        <v>297</v>
      </c>
      <c r="H87" s="38">
        <f t="shared" si="4"/>
        <v>32.94</v>
      </c>
      <c r="I87" s="38">
        <f t="shared" si="3"/>
        <v>32.94</v>
      </c>
      <c r="K87" t="str">
        <f t="shared" si="5"/>
        <v>ELCNGA</v>
      </c>
    </row>
    <row r="88" spans="3:11" ht="13.2">
      <c r="C88" t="s">
        <v>8</v>
      </c>
      <c r="D88">
        <v>2035</v>
      </c>
      <c r="E88" t="s">
        <v>95</v>
      </c>
      <c r="F88" t="s">
        <v>9</v>
      </c>
      <c r="G88" s="30" t="s">
        <v>297</v>
      </c>
      <c r="H88" s="38">
        <f t="shared" si="4"/>
        <v>32.94</v>
      </c>
      <c r="I88" s="38">
        <f t="shared" si="3"/>
        <v>32.94</v>
      </c>
      <c r="K88" t="str">
        <f t="shared" si="5"/>
        <v>ELCNGA</v>
      </c>
    </row>
    <row r="89" spans="3:11" ht="13.2">
      <c r="C89" t="s">
        <v>8</v>
      </c>
      <c r="D89">
        <v>2036</v>
      </c>
      <c r="E89" t="s">
        <v>95</v>
      </c>
      <c r="F89" t="s">
        <v>9</v>
      </c>
      <c r="G89" s="30" t="s">
        <v>297</v>
      </c>
      <c r="H89" s="38">
        <f t="shared" si="4"/>
        <v>32.94</v>
      </c>
      <c r="I89" s="38">
        <f t="shared" si="3"/>
        <v>32.94</v>
      </c>
      <c r="K89" t="str">
        <f t="shared" si="5"/>
        <v>ELCNGA</v>
      </c>
    </row>
    <row r="90" spans="3:11" ht="13.2">
      <c r="C90" t="s">
        <v>8</v>
      </c>
      <c r="D90">
        <v>2037</v>
      </c>
      <c r="E90" t="s">
        <v>95</v>
      </c>
      <c r="F90" t="s">
        <v>9</v>
      </c>
      <c r="G90" s="30" t="s">
        <v>297</v>
      </c>
      <c r="H90" s="38">
        <f t="shared" si="4"/>
        <v>32.94</v>
      </c>
      <c r="I90" s="38">
        <f t="shared" si="3"/>
        <v>32.94</v>
      </c>
      <c r="K90" t="str">
        <f t="shared" si="5"/>
        <v>ELCNGA</v>
      </c>
    </row>
    <row r="91" spans="3:11" ht="13.2">
      <c r="C91" t="s">
        <v>8</v>
      </c>
      <c r="D91">
        <v>2038</v>
      </c>
      <c r="E91" t="s">
        <v>95</v>
      </c>
      <c r="F91" t="s">
        <v>9</v>
      </c>
      <c r="G91" s="30" t="s">
        <v>297</v>
      </c>
      <c r="H91" s="38">
        <f t="shared" si="4"/>
        <v>32.94</v>
      </c>
      <c r="I91" s="38">
        <f t="shared" si="3"/>
        <v>32.94</v>
      </c>
      <c r="K91" t="str">
        <f t="shared" si="5"/>
        <v>ELCNGA</v>
      </c>
    </row>
    <row r="92" spans="3:11" ht="13.2">
      <c r="C92" t="s">
        <v>8</v>
      </c>
      <c r="D92">
        <v>2039</v>
      </c>
      <c r="E92" t="s">
        <v>95</v>
      </c>
      <c r="F92" t="s">
        <v>9</v>
      </c>
      <c r="G92" s="30" t="s">
        <v>297</v>
      </c>
      <c r="H92" s="38">
        <f t="shared" si="4"/>
        <v>32.94</v>
      </c>
      <c r="I92" s="38">
        <f t="shared" si="3"/>
        <v>32.94</v>
      </c>
      <c r="K92" t="str">
        <f t="shared" si="5"/>
        <v>ELCNGA</v>
      </c>
    </row>
    <row r="93" spans="3:11" ht="13.2">
      <c r="C93" t="s">
        <v>8</v>
      </c>
      <c r="D93">
        <v>2040</v>
      </c>
      <c r="E93" t="s">
        <v>95</v>
      </c>
      <c r="F93" t="s">
        <v>9</v>
      </c>
      <c r="G93" s="30" t="s">
        <v>297</v>
      </c>
      <c r="H93" s="38">
        <f t="shared" si="4"/>
        <v>32.94</v>
      </c>
      <c r="I93" s="38">
        <f t="shared" si="3"/>
        <v>32.94</v>
      </c>
      <c r="K93" t="str">
        <f t="shared" si="5"/>
        <v>ELCNGA</v>
      </c>
    </row>
    <row r="94" spans="3:11" ht="13.2">
      <c r="C94" t="s">
        <v>8</v>
      </c>
      <c r="D94">
        <v>2041</v>
      </c>
      <c r="E94" t="s">
        <v>95</v>
      </c>
      <c r="F94" t="s">
        <v>9</v>
      </c>
      <c r="G94" s="30" t="s">
        <v>297</v>
      </c>
      <c r="H94" s="38">
        <f t="shared" si="4"/>
        <v>32.94</v>
      </c>
      <c r="I94" s="38">
        <f t="shared" si="3"/>
        <v>32.94</v>
      </c>
      <c r="K94" t="str">
        <f t="shared" si="5"/>
        <v>ELCNGA</v>
      </c>
    </row>
    <row r="95" spans="3:11" ht="13.2">
      <c r="C95" t="s">
        <v>8</v>
      </c>
      <c r="D95">
        <v>2042</v>
      </c>
      <c r="E95" t="s">
        <v>95</v>
      </c>
      <c r="F95" t="s">
        <v>9</v>
      </c>
      <c r="G95" s="30" t="s">
        <v>297</v>
      </c>
      <c r="H95" s="38">
        <f t="shared" si="4"/>
        <v>32.94</v>
      </c>
      <c r="I95" s="38">
        <f t="shared" si="3"/>
        <v>32.94</v>
      </c>
      <c r="K95" t="str">
        <f t="shared" si="5"/>
        <v>ELCNGA</v>
      </c>
    </row>
    <row r="96" spans="3:11" ht="13.2">
      <c r="C96" t="s">
        <v>8</v>
      </c>
      <c r="D96">
        <v>2043</v>
      </c>
      <c r="E96" t="s">
        <v>95</v>
      </c>
      <c r="F96" t="s">
        <v>9</v>
      </c>
      <c r="G96" s="30" t="s">
        <v>297</v>
      </c>
      <c r="H96" s="38">
        <f t="shared" si="4"/>
        <v>32.94</v>
      </c>
      <c r="I96" s="38">
        <f t="shared" si="3"/>
        <v>32.94</v>
      </c>
      <c r="K96" t="str">
        <f t="shared" si="5"/>
        <v>ELCNGA</v>
      </c>
    </row>
    <row r="97" spans="2:11" ht="13.2">
      <c r="C97" t="s">
        <v>8</v>
      </c>
      <c r="D97">
        <v>2044</v>
      </c>
      <c r="E97" t="s">
        <v>95</v>
      </c>
      <c r="F97" t="s">
        <v>9</v>
      </c>
      <c r="G97" s="30" t="s">
        <v>297</v>
      </c>
      <c r="H97" s="38">
        <f t="shared" si="4"/>
        <v>32.94</v>
      </c>
      <c r="I97" s="38">
        <f t="shared" si="3"/>
        <v>32.94</v>
      </c>
      <c r="K97" t="str">
        <f t="shared" si="5"/>
        <v>ELCNGA</v>
      </c>
    </row>
    <row r="98" spans="2:11" ht="13.2">
      <c r="C98" t="s">
        <v>8</v>
      </c>
      <c r="D98">
        <v>2045</v>
      </c>
      <c r="E98" t="s">
        <v>95</v>
      </c>
      <c r="F98" t="s">
        <v>9</v>
      </c>
      <c r="G98" s="30" t="s">
        <v>297</v>
      </c>
      <c r="H98" s="38">
        <f t="shared" si="4"/>
        <v>32.94</v>
      </c>
      <c r="I98" s="38">
        <f t="shared" si="3"/>
        <v>32.94</v>
      </c>
      <c r="K98" t="str">
        <f t="shared" si="5"/>
        <v>ELCNGA</v>
      </c>
    </row>
    <row r="99" spans="2:11" ht="13.2">
      <c r="C99" t="s">
        <v>8</v>
      </c>
      <c r="D99">
        <v>2046</v>
      </c>
      <c r="E99" t="s">
        <v>95</v>
      </c>
      <c r="F99" t="s">
        <v>9</v>
      </c>
      <c r="G99" s="30" t="s">
        <v>297</v>
      </c>
      <c r="H99" s="38">
        <f t="shared" si="4"/>
        <v>32.94</v>
      </c>
      <c r="I99" s="38">
        <f t="shared" si="3"/>
        <v>32.94</v>
      </c>
      <c r="K99" t="str">
        <f t="shared" si="5"/>
        <v>ELCNGA</v>
      </c>
    </row>
    <row r="100" spans="2:11" ht="13.2">
      <c r="C100" t="s">
        <v>8</v>
      </c>
      <c r="D100">
        <v>2047</v>
      </c>
      <c r="E100" t="s">
        <v>95</v>
      </c>
      <c r="F100" t="s">
        <v>9</v>
      </c>
      <c r="G100" s="30" t="s">
        <v>297</v>
      </c>
      <c r="H100" s="38">
        <f t="shared" si="4"/>
        <v>32.94</v>
      </c>
      <c r="I100" s="38">
        <f t="shared" si="3"/>
        <v>32.94</v>
      </c>
      <c r="K100" t="str">
        <f t="shared" si="5"/>
        <v>ELCNGA</v>
      </c>
    </row>
    <row r="101" spans="2:11" ht="13.2">
      <c r="C101" t="s">
        <v>8</v>
      </c>
      <c r="D101">
        <v>2048</v>
      </c>
      <c r="E101" t="s">
        <v>95</v>
      </c>
      <c r="F101" t="s">
        <v>9</v>
      </c>
      <c r="G101" s="30" t="s">
        <v>297</v>
      </c>
      <c r="H101" s="38">
        <f t="shared" si="4"/>
        <v>32.94</v>
      </c>
      <c r="I101" s="38">
        <f t="shared" si="3"/>
        <v>32.94</v>
      </c>
      <c r="K101" t="str">
        <f t="shared" si="5"/>
        <v>ELCNGA</v>
      </c>
    </row>
    <row r="102" spans="2:11" ht="13.2">
      <c r="C102" t="s">
        <v>8</v>
      </c>
      <c r="D102">
        <v>2049</v>
      </c>
      <c r="E102" t="s">
        <v>95</v>
      </c>
      <c r="F102" t="s">
        <v>9</v>
      </c>
      <c r="G102" s="30" t="s">
        <v>297</v>
      </c>
      <c r="H102" s="38">
        <f t="shared" si="4"/>
        <v>32.94</v>
      </c>
      <c r="I102" s="38">
        <f t="shared" si="3"/>
        <v>32.94</v>
      </c>
      <c r="K102" t="str">
        <f t="shared" si="5"/>
        <v>ELCNGA</v>
      </c>
    </row>
    <row r="103" spans="2:11" ht="13.2">
      <c r="B103" s="7"/>
      <c r="C103" s="7" t="s">
        <v>8</v>
      </c>
      <c r="D103" s="7">
        <v>2050</v>
      </c>
      <c r="E103" s="7" t="s">
        <v>95</v>
      </c>
      <c r="F103" s="7" t="s">
        <v>9</v>
      </c>
      <c r="G103" s="35" t="s">
        <v>297</v>
      </c>
      <c r="H103" s="38">
        <f t="shared" si="4"/>
        <v>32.94</v>
      </c>
      <c r="I103" s="38">
        <f t="shared" si="3"/>
        <v>32.94</v>
      </c>
      <c r="K103" t="str">
        <f t="shared" si="5"/>
        <v>ELCNGA</v>
      </c>
    </row>
    <row r="104" spans="2:11" ht="13.2">
      <c r="C104" t="s">
        <v>8</v>
      </c>
      <c r="D104">
        <v>2010</v>
      </c>
      <c r="E104" s="24" t="s">
        <v>96</v>
      </c>
      <c r="F104" s="24" t="s">
        <v>9</v>
      </c>
      <c r="G104" s="30" t="s">
        <v>297</v>
      </c>
      <c r="H104" s="38">
        <f t="shared" si="4"/>
        <v>35.355480573398125</v>
      </c>
      <c r="I104" s="38">
        <f t="shared" si="3"/>
        <v>35.355480573398125</v>
      </c>
      <c r="K104" t="str">
        <f t="shared" si="5"/>
        <v>ELCNGA</v>
      </c>
    </row>
    <row r="105" spans="2:11" ht="13.2">
      <c r="C105" t="s">
        <v>8</v>
      </c>
      <c r="D105">
        <v>2011</v>
      </c>
      <c r="E105" s="9" t="s">
        <v>96</v>
      </c>
      <c r="F105" s="9" t="s">
        <v>9</v>
      </c>
      <c r="G105" s="30" t="s">
        <v>297</v>
      </c>
      <c r="H105" s="38">
        <f t="shared" si="4"/>
        <v>35.079558172097755</v>
      </c>
      <c r="I105" s="38">
        <f t="shared" si="3"/>
        <v>35.079558172097755</v>
      </c>
      <c r="K105" t="str">
        <f t="shared" si="5"/>
        <v>ELCNGA</v>
      </c>
    </row>
    <row r="106" spans="2:11" ht="13.2">
      <c r="C106" t="s">
        <v>8</v>
      </c>
      <c r="D106">
        <v>2012</v>
      </c>
      <c r="E106" s="9" t="s">
        <v>96</v>
      </c>
      <c r="F106" s="9" t="s">
        <v>9</v>
      </c>
      <c r="G106" s="30" t="s">
        <v>297</v>
      </c>
      <c r="H106" s="38">
        <f t="shared" si="4"/>
        <v>35.090374720427818</v>
      </c>
      <c r="I106" s="38">
        <f t="shared" si="3"/>
        <v>35.090374720427818</v>
      </c>
      <c r="K106" t="str">
        <f t="shared" si="5"/>
        <v>ELCNGA</v>
      </c>
    </row>
    <row r="107" spans="2:11" ht="13.2">
      <c r="C107" t="s">
        <v>8</v>
      </c>
      <c r="D107">
        <v>2013</v>
      </c>
      <c r="E107" s="9" t="s">
        <v>96</v>
      </c>
      <c r="F107" s="9" t="s">
        <v>9</v>
      </c>
      <c r="G107" s="30" t="s">
        <v>297</v>
      </c>
      <c r="H107" s="38">
        <f t="shared" si="4"/>
        <v>35.397598889545286</v>
      </c>
      <c r="I107" s="38">
        <f t="shared" si="3"/>
        <v>35.397598889545286</v>
      </c>
      <c r="K107" t="str">
        <f t="shared" si="5"/>
        <v>ELCNGA</v>
      </c>
    </row>
    <row r="108" spans="2:11" ht="13.2">
      <c r="C108" t="s">
        <v>8</v>
      </c>
      <c r="D108">
        <v>2014</v>
      </c>
      <c r="E108" s="9" t="s">
        <v>96</v>
      </c>
      <c r="F108" s="9" t="s">
        <v>9</v>
      </c>
      <c r="G108" s="30" t="s">
        <v>297</v>
      </c>
      <c r="H108" s="38">
        <f t="shared" si="4"/>
        <v>35.758594704684313</v>
      </c>
      <c r="I108" s="38">
        <f t="shared" si="3"/>
        <v>35.758594704684313</v>
      </c>
      <c r="K108" t="str">
        <f t="shared" si="5"/>
        <v>ELCNGA</v>
      </c>
    </row>
    <row r="109" spans="2:11" ht="13.2">
      <c r="C109" t="s">
        <v>8</v>
      </c>
      <c r="D109">
        <v>2015</v>
      </c>
      <c r="E109" s="9" t="s">
        <v>96</v>
      </c>
      <c r="F109" s="9" t="s">
        <v>9</v>
      </c>
      <c r="G109" s="30" t="s">
        <v>297</v>
      </c>
      <c r="H109" s="38">
        <f t="shared" si="4"/>
        <v>32.94</v>
      </c>
      <c r="I109" s="38">
        <f t="shared" si="3"/>
        <v>32.94</v>
      </c>
      <c r="K109" t="str">
        <f t="shared" si="5"/>
        <v>ELCNGA</v>
      </c>
    </row>
    <row r="110" spans="2:11" ht="13.2">
      <c r="C110" t="s">
        <v>8</v>
      </c>
      <c r="D110">
        <v>2016</v>
      </c>
      <c r="E110" s="9" t="s">
        <v>96</v>
      </c>
      <c r="F110" s="9" t="s">
        <v>9</v>
      </c>
      <c r="G110" s="30" t="s">
        <v>297</v>
      </c>
      <c r="H110" s="38">
        <f t="shared" si="4"/>
        <v>32.94</v>
      </c>
      <c r="I110" s="38">
        <f t="shared" si="3"/>
        <v>32.94</v>
      </c>
      <c r="K110" t="str">
        <f t="shared" si="5"/>
        <v>ELCNGA</v>
      </c>
    </row>
    <row r="111" spans="2:11" ht="13.2">
      <c r="C111" t="s">
        <v>8</v>
      </c>
      <c r="D111">
        <v>2017</v>
      </c>
      <c r="E111" s="9" t="s">
        <v>96</v>
      </c>
      <c r="F111" s="9" t="s">
        <v>9</v>
      </c>
      <c r="G111" s="30" t="s">
        <v>297</v>
      </c>
      <c r="H111" s="38">
        <f t="shared" si="4"/>
        <v>32.94</v>
      </c>
      <c r="I111" s="38">
        <f t="shared" si="3"/>
        <v>32.94</v>
      </c>
      <c r="K111" t="str">
        <f t="shared" si="5"/>
        <v>ELCNGA</v>
      </c>
    </row>
    <row r="112" spans="2:11" ht="13.2">
      <c r="C112" t="s">
        <v>8</v>
      </c>
      <c r="D112">
        <v>2018</v>
      </c>
      <c r="E112" s="9" t="s">
        <v>96</v>
      </c>
      <c r="F112" s="9" t="s">
        <v>9</v>
      </c>
      <c r="G112" s="30" t="s">
        <v>297</v>
      </c>
      <c r="H112" s="38">
        <f t="shared" si="4"/>
        <v>32.94</v>
      </c>
      <c r="I112" s="38">
        <f t="shared" si="3"/>
        <v>32.94</v>
      </c>
      <c r="K112" t="str">
        <f t="shared" si="5"/>
        <v>ELCNGA</v>
      </c>
    </row>
    <row r="113" spans="3:11" ht="13.2">
      <c r="C113" t="s">
        <v>8</v>
      </c>
      <c r="D113">
        <v>2019</v>
      </c>
      <c r="E113" s="9" t="s">
        <v>96</v>
      </c>
      <c r="F113" s="9" t="s">
        <v>9</v>
      </c>
      <c r="G113" s="30" t="s">
        <v>297</v>
      </c>
      <c r="H113" s="38">
        <f t="shared" si="4"/>
        <v>32.94</v>
      </c>
      <c r="I113" s="38">
        <f t="shared" si="3"/>
        <v>32.94</v>
      </c>
      <c r="K113" t="str">
        <f t="shared" si="5"/>
        <v>ELCNGA</v>
      </c>
    </row>
    <row r="114" spans="3:11" ht="13.2">
      <c r="C114" t="s">
        <v>8</v>
      </c>
      <c r="D114">
        <v>2020</v>
      </c>
      <c r="E114" s="9" t="s">
        <v>96</v>
      </c>
      <c r="F114" s="9" t="s">
        <v>9</v>
      </c>
      <c r="G114" s="30" t="s">
        <v>297</v>
      </c>
      <c r="H114" s="38">
        <f t="shared" si="4"/>
        <v>32.94</v>
      </c>
      <c r="I114" s="38">
        <f t="shared" si="3"/>
        <v>32.94</v>
      </c>
      <c r="K114" t="str">
        <f t="shared" si="5"/>
        <v>ELCNGA</v>
      </c>
    </row>
    <row r="115" spans="3:11" ht="13.2">
      <c r="C115" t="s">
        <v>8</v>
      </c>
      <c r="D115">
        <v>2021</v>
      </c>
      <c r="E115" s="9" t="s">
        <v>96</v>
      </c>
      <c r="F115" s="9" t="s">
        <v>9</v>
      </c>
      <c r="G115" s="30" t="s">
        <v>297</v>
      </c>
      <c r="H115" s="38">
        <f t="shared" si="4"/>
        <v>32.94</v>
      </c>
      <c r="I115" s="38">
        <f t="shared" si="3"/>
        <v>32.94</v>
      </c>
      <c r="K115" t="str">
        <f t="shared" si="5"/>
        <v>ELCNGA</v>
      </c>
    </row>
    <row r="116" spans="3:11" ht="13.2">
      <c r="C116" t="s">
        <v>8</v>
      </c>
      <c r="D116">
        <v>2022</v>
      </c>
      <c r="E116" s="9" t="s">
        <v>96</v>
      </c>
      <c r="F116" s="9" t="s">
        <v>9</v>
      </c>
      <c r="G116" s="30" t="s">
        <v>297</v>
      </c>
      <c r="H116" s="38">
        <f t="shared" si="4"/>
        <v>32.94</v>
      </c>
      <c r="I116" s="38">
        <f t="shared" si="3"/>
        <v>32.94</v>
      </c>
      <c r="K116" t="str">
        <f t="shared" si="5"/>
        <v>ELCNGA</v>
      </c>
    </row>
    <row r="117" spans="3:11" ht="13.2">
      <c r="C117" t="s">
        <v>8</v>
      </c>
      <c r="D117">
        <v>2023</v>
      </c>
      <c r="E117" s="9" t="s">
        <v>96</v>
      </c>
      <c r="F117" s="9" t="s">
        <v>9</v>
      </c>
      <c r="G117" s="30" t="s">
        <v>297</v>
      </c>
      <c r="H117" s="38">
        <f t="shared" si="4"/>
        <v>32.94</v>
      </c>
      <c r="I117" s="38">
        <f t="shared" si="3"/>
        <v>32.94</v>
      </c>
      <c r="K117" t="str">
        <f t="shared" si="5"/>
        <v>ELCNGA</v>
      </c>
    </row>
    <row r="118" spans="3:11" ht="13.2">
      <c r="C118" t="s">
        <v>8</v>
      </c>
      <c r="D118">
        <v>2024</v>
      </c>
      <c r="E118" s="9" t="s">
        <v>96</v>
      </c>
      <c r="F118" s="9" t="s">
        <v>9</v>
      </c>
      <c r="G118" s="30" t="s">
        <v>297</v>
      </c>
      <c r="H118" s="38">
        <f t="shared" si="4"/>
        <v>32.94</v>
      </c>
      <c r="I118" s="38">
        <f t="shared" si="3"/>
        <v>32.94</v>
      </c>
      <c r="K118" t="str">
        <f t="shared" si="5"/>
        <v>ELCNGA</v>
      </c>
    </row>
    <row r="119" spans="3:11" ht="13.2">
      <c r="C119" t="s">
        <v>8</v>
      </c>
      <c r="D119">
        <v>2025</v>
      </c>
      <c r="E119" s="9" t="s">
        <v>96</v>
      </c>
      <c r="F119" s="9" t="s">
        <v>9</v>
      </c>
      <c r="G119" s="30" t="s">
        <v>297</v>
      </c>
      <c r="H119" s="38">
        <f t="shared" si="4"/>
        <v>32.94</v>
      </c>
      <c r="I119" s="38">
        <f t="shared" si="3"/>
        <v>32.94</v>
      </c>
      <c r="K119" t="str">
        <f t="shared" si="5"/>
        <v>ELCNGA</v>
      </c>
    </row>
    <row r="120" spans="3:11" ht="13.2">
      <c r="C120" t="s">
        <v>8</v>
      </c>
      <c r="D120">
        <v>2026</v>
      </c>
      <c r="E120" s="9" t="s">
        <v>96</v>
      </c>
      <c r="F120" s="9" t="s">
        <v>9</v>
      </c>
      <c r="G120" s="30" t="s">
        <v>297</v>
      </c>
      <c r="H120" s="38">
        <f t="shared" si="4"/>
        <v>32.94</v>
      </c>
      <c r="I120" s="38">
        <f t="shared" si="3"/>
        <v>32.94</v>
      </c>
      <c r="K120" t="str">
        <f t="shared" si="5"/>
        <v>ELCNGA</v>
      </c>
    </row>
    <row r="121" spans="3:11" ht="13.2">
      <c r="C121" t="s">
        <v>8</v>
      </c>
      <c r="D121">
        <v>2027</v>
      </c>
      <c r="E121" s="9" t="s">
        <v>96</v>
      </c>
      <c r="F121" s="9" t="s">
        <v>9</v>
      </c>
      <c r="G121" s="30" t="s">
        <v>297</v>
      </c>
      <c r="H121" s="38">
        <f t="shared" si="4"/>
        <v>32.94</v>
      </c>
      <c r="I121" s="38">
        <f t="shared" si="3"/>
        <v>32.94</v>
      </c>
      <c r="K121" t="str">
        <f t="shared" si="5"/>
        <v>ELCNGA</v>
      </c>
    </row>
    <row r="122" spans="3:11" ht="13.2">
      <c r="C122" t="s">
        <v>8</v>
      </c>
      <c r="D122">
        <v>2028</v>
      </c>
      <c r="E122" s="9" t="s">
        <v>96</v>
      </c>
      <c r="F122" s="9" t="s">
        <v>9</v>
      </c>
      <c r="G122" s="30" t="s">
        <v>297</v>
      </c>
      <c r="H122" s="38">
        <f t="shared" si="4"/>
        <v>32.94</v>
      </c>
      <c r="I122" s="38">
        <f t="shared" si="3"/>
        <v>32.94</v>
      </c>
      <c r="K122" t="str">
        <f t="shared" si="5"/>
        <v>ELCNGA</v>
      </c>
    </row>
    <row r="123" spans="3:11" ht="13.2">
      <c r="C123" t="s">
        <v>8</v>
      </c>
      <c r="D123">
        <v>2029</v>
      </c>
      <c r="E123" s="9" t="s">
        <v>96</v>
      </c>
      <c r="F123" s="9" t="s">
        <v>9</v>
      </c>
      <c r="G123" s="30" t="s">
        <v>297</v>
      </c>
      <c r="H123" s="38">
        <f t="shared" si="4"/>
        <v>32.94</v>
      </c>
      <c r="I123" s="38">
        <f t="shared" si="3"/>
        <v>32.94</v>
      </c>
      <c r="K123" t="str">
        <f t="shared" si="5"/>
        <v>ELCNGA</v>
      </c>
    </row>
    <row r="124" spans="3:11" ht="13.2">
      <c r="C124" t="s">
        <v>8</v>
      </c>
      <c r="D124">
        <v>2030</v>
      </c>
      <c r="E124" s="9" t="s">
        <v>96</v>
      </c>
      <c r="F124" s="9" t="s">
        <v>9</v>
      </c>
      <c r="G124" s="30" t="s">
        <v>297</v>
      </c>
      <c r="H124" s="38">
        <f t="shared" si="4"/>
        <v>32.94</v>
      </c>
      <c r="I124" s="38">
        <f t="shared" si="3"/>
        <v>32.94</v>
      </c>
      <c r="K124" t="str">
        <f t="shared" si="5"/>
        <v>ELCNGA</v>
      </c>
    </row>
    <row r="125" spans="3:11" ht="13.2">
      <c r="C125" t="s">
        <v>8</v>
      </c>
      <c r="D125">
        <v>2031</v>
      </c>
      <c r="E125" s="9" t="s">
        <v>96</v>
      </c>
      <c r="F125" s="9" t="s">
        <v>9</v>
      </c>
      <c r="G125" s="30" t="s">
        <v>297</v>
      </c>
      <c r="H125" s="38">
        <f t="shared" si="4"/>
        <v>32.94</v>
      </c>
      <c r="I125" s="38">
        <f t="shared" si="3"/>
        <v>32.94</v>
      </c>
      <c r="K125" t="str">
        <f t="shared" si="5"/>
        <v>ELCNGA</v>
      </c>
    </row>
    <row r="126" spans="3:11" ht="13.2">
      <c r="C126" t="s">
        <v>8</v>
      </c>
      <c r="D126">
        <v>2032</v>
      </c>
      <c r="E126" s="9" t="s">
        <v>96</v>
      </c>
      <c r="F126" s="9" t="s">
        <v>9</v>
      </c>
      <c r="G126" s="30" t="s">
        <v>297</v>
      </c>
      <c r="H126" s="38">
        <f t="shared" si="4"/>
        <v>32.94</v>
      </c>
      <c r="I126" s="38">
        <f t="shared" si="3"/>
        <v>32.94</v>
      </c>
      <c r="K126" t="str">
        <f t="shared" si="5"/>
        <v>ELCNGA</v>
      </c>
    </row>
    <row r="127" spans="3:11" ht="13.2">
      <c r="C127" t="s">
        <v>8</v>
      </c>
      <c r="D127">
        <v>2033</v>
      </c>
      <c r="E127" s="9" t="s">
        <v>96</v>
      </c>
      <c r="F127" s="9" t="s">
        <v>9</v>
      </c>
      <c r="G127" s="30" t="s">
        <v>297</v>
      </c>
      <c r="H127" s="38">
        <f t="shared" si="4"/>
        <v>32.94</v>
      </c>
      <c r="I127" s="38">
        <f t="shared" si="3"/>
        <v>32.94</v>
      </c>
      <c r="K127" t="str">
        <f t="shared" si="5"/>
        <v>ELCNGA</v>
      </c>
    </row>
    <row r="128" spans="3:11" ht="13.2">
      <c r="C128" t="s">
        <v>8</v>
      </c>
      <c r="D128">
        <v>2034</v>
      </c>
      <c r="E128" s="9" t="s">
        <v>96</v>
      </c>
      <c r="F128" s="9" t="s">
        <v>9</v>
      </c>
      <c r="G128" s="30" t="s">
        <v>297</v>
      </c>
      <c r="H128" s="38">
        <f t="shared" si="4"/>
        <v>32.94</v>
      </c>
      <c r="I128" s="38">
        <f t="shared" ref="I128:I191" si="6">H128</f>
        <v>32.94</v>
      </c>
      <c r="K128" t="str">
        <f t="shared" si="5"/>
        <v>ELCNGA</v>
      </c>
    </row>
    <row r="129" spans="2:11" ht="13.2">
      <c r="C129" t="s">
        <v>8</v>
      </c>
      <c r="D129">
        <v>2035</v>
      </c>
      <c r="E129" s="9" t="s">
        <v>96</v>
      </c>
      <c r="F129" s="9" t="s">
        <v>9</v>
      </c>
      <c r="G129" s="30" t="s">
        <v>297</v>
      </c>
      <c r="H129" s="38">
        <f t="shared" si="4"/>
        <v>32.94</v>
      </c>
      <c r="I129" s="38">
        <f t="shared" si="6"/>
        <v>32.94</v>
      </c>
      <c r="K129" t="str">
        <f t="shared" si="5"/>
        <v>ELCNGA</v>
      </c>
    </row>
    <row r="130" spans="2:11" ht="13.2">
      <c r="C130" t="s">
        <v>8</v>
      </c>
      <c r="D130">
        <v>2036</v>
      </c>
      <c r="E130" s="9" t="s">
        <v>96</v>
      </c>
      <c r="F130" s="9" t="s">
        <v>9</v>
      </c>
      <c r="G130" s="30" t="s">
        <v>297</v>
      </c>
      <c r="H130" s="38">
        <f t="shared" si="4"/>
        <v>32.94</v>
      </c>
      <c r="I130" s="38">
        <f t="shared" si="6"/>
        <v>32.94</v>
      </c>
      <c r="K130" t="str">
        <f t="shared" si="5"/>
        <v>ELCNGA</v>
      </c>
    </row>
    <row r="131" spans="2:11" ht="13.2">
      <c r="C131" t="s">
        <v>8</v>
      </c>
      <c r="D131">
        <v>2037</v>
      </c>
      <c r="E131" s="9" t="s">
        <v>96</v>
      </c>
      <c r="F131" s="9" t="s">
        <v>9</v>
      </c>
      <c r="G131" s="30" t="s">
        <v>297</v>
      </c>
      <c r="H131" s="38">
        <f t="shared" si="4"/>
        <v>32.94</v>
      </c>
      <c r="I131" s="38">
        <f t="shared" si="6"/>
        <v>32.94</v>
      </c>
      <c r="K131" t="str">
        <f t="shared" si="5"/>
        <v>ELCNGA</v>
      </c>
    </row>
    <row r="132" spans="2:11" ht="13.2">
      <c r="C132" t="s">
        <v>8</v>
      </c>
      <c r="D132">
        <v>2038</v>
      </c>
      <c r="E132" s="9" t="s">
        <v>96</v>
      </c>
      <c r="F132" s="9" t="s">
        <v>9</v>
      </c>
      <c r="G132" s="30" t="s">
        <v>297</v>
      </c>
      <c r="H132" s="38">
        <f t="shared" si="4"/>
        <v>32.94</v>
      </c>
      <c r="I132" s="38">
        <f t="shared" si="6"/>
        <v>32.94</v>
      </c>
      <c r="K132" t="str">
        <f t="shared" si="5"/>
        <v>ELCNGA</v>
      </c>
    </row>
    <row r="133" spans="2:11" ht="13.2">
      <c r="C133" t="s">
        <v>8</v>
      </c>
      <c r="D133">
        <v>2039</v>
      </c>
      <c r="E133" s="9" t="s">
        <v>96</v>
      </c>
      <c r="F133" s="9" t="s">
        <v>9</v>
      </c>
      <c r="G133" s="30" t="s">
        <v>297</v>
      </c>
      <c r="H133" s="38">
        <f t="shared" si="4"/>
        <v>32.94</v>
      </c>
      <c r="I133" s="38">
        <f t="shared" si="6"/>
        <v>32.94</v>
      </c>
      <c r="K133" t="str">
        <f t="shared" si="5"/>
        <v>ELCNGA</v>
      </c>
    </row>
    <row r="134" spans="2:11" ht="13.2">
      <c r="C134" t="s">
        <v>8</v>
      </c>
      <c r="D134">
        <v>2040</v>
      </c>
      <c r="E134" s="9" t="s">
        <v>96</v>
      </c>
      <c r="F134" s="9" t="s">
        <v>9</v>
      </c>
      <c r="G134" s="30" t="s">
        <v>297</v>
      </c>
      <c r="H134" s="38">
        <f t="shared" si="4"/>
        <v>32.94</v>
      </c>
      <c r="I134" s="38">
        <f t="shared" si="6"/>
        <v>32.94</v>
      </c>
      <c r="K134" t="str">
        <f t="shared" si="5"/>
        <v>ELCNGA</v>
      </c>
    </row>
    <row r="135" spans="2:11" ht="13.2">
      <c r="C135" t="s">
        <v>8</v>
      </c>
      <c r="D135">
        <v>2041</v>
      </c>
      <c r="E135" s="9" t="s">
        <v>96</v>
      </c>
      <c r="F135" s="9" t="s">
        <v>9</v>
      </c>
      <c r="G135" s="30" t="s">
        <v>297</v>
      </c>
      <c r="H135" s="38">
        <f t="shared" si="4"/>
        <v>32.94</v>
      </c>
      <c r="I135" s="38">
        <f t="shared" si="6"/>
        <v>32.94</v>
      </c>
      <c r="K135" t="str">
        <f t="shared" si="5"/>
        <v>ELCNGA</v>
      </c>
    </row>
    <row r="136" spans="2:11" ht="13.2">
      <c r="C136" t="s">
        <v>8</v>
      </c>
      <c r="D136">
        <v>2042</v>
      </c>
      <c r="E136" s="9" t="s">
        <v>96</v>
      </c>
      <c r="F136" s="9" t="s">
        <v>9</v>
      </c>
      <c r="G136" s="30" t="s">
        <v>297</v>
      </c>
      <c r="H136" s="38">
        <f t="shared" si="4"/>
        <v>32.94</v>
      </c>
      <c r="I136" s="38">
        <f t="shared" si="6"/>
        <v>32.94</v>
      </c>
      <c r="K136" t="str">
        <f t="shared" si="5"/>
        <v>ELCNGA</v>
      </c>
    </row>
    <row r="137" spans="2:11" ht="13.2">
      <c r="C137" t="s">
        <v>8</v>
      </c>
      <c r="D137">
        <v>2043</v>
      </c>
      <c r="E137" s="9" t="s">
        <v>96</v>
      </c>
      <c r="F137" s="9" t="s">
        <v>9</v>
      </c>
      <c r="G137" s="30" t="s">
        <v>297</v>
      </c>
      <c r="H137" s="38">
        <f t="shared" si="4"/>
        <v>32.94</v>
      </c>
      <c r="I137" s="38">
        <f t="shared" si="6"/>
        <v>32.94</v>
      </c>
      <c r="K137" t="str">
        <f t="shared" si="5"/>
        <v>ELCNGA</v>
      </c>
    </row>
    <row r="138" spans="2:11" ht="13.2">
      <c r="C138" t="s">
        <v>8</v>
      </c>
      <c r="D138">
        <v>2044</v>
      </c>
      <c r="E138" s="9" t="s">
        <v>96</v>
      </c>
      <c r="F138" s="9" t="s">
        <v>9</v>
      </c>
      <c r="G138" s="30" t="s">
        <v>297</v>
      </c>
      <c r="H138" s="38">
        <f t="shared" si="4"/>
        <v>32.94</v>
      </c>
      <c r="I138" s="38">
        <f t="shared" si="6"/>
        <v>32.94</v>
      </c>
      <c r="K138" t="str">
        <f t="shared" si="5"/>
        <v>ELCNGA</v>
      </c>
    </row>
    <row r="139" spans="2:11" ht="13.2">
      <c r="C139" t="s">
        <v>8</v>
      </c>
      <c r="D139">
        <v>2045</v>
      </c>
      <c r="E139" s="9" t="s">
        <v>96</v>
      </c>
      <c r="F139" s="9" t="s">
        <v>9</v>
      </c>
      <c r="G139" s="30" t="s">
        <v>297</v>
      </c>
      <c r="H139" s="38">
        <f t="shared" si="4"/>
        <v>32.94</v>
      </c>
      <c r="I139" s="38">
        <f t="shared" si="6"/>
        <v>32.94</v>
      </c>
      <c r="K139" t="str">
        <f t="shared" si="5"/>
        <v>ELCNGA</v>
      </c>
    </row>
    <row r="140" spans="2:11" ht="13.2">
      <c r="C140" t="s">
        <v>8</v>
      </c>
      <c r="D140">
        <v>2046</v>
      </c>
      <c r="E140" s="9" t="s">
        <v>96</v>
      </c>
      <c r="F140" s="9" t="s">
        <v>9</v>
      </c>
      <c r="G140" s="30" t="s">
        <v>297</v>
      </c>
      <c r="H140" s="38">
        <f t="shared" si="4"/>
        <v>32.94</v>
      </c>
      <c r="I140" s="38">
        <f t="shared" si="6"/>
        <v>32.94</v>
      </c>
      <c r="K140" t="str">
        <f t="shared" si="5"/>
        <v>ELCNGA</v>
      </c>
    </row>
    <row r="141" spans="2:11" ht="13.2">
      <c r="C141" t="s">
        <v>8</v>
      </c>
      <c r="D141">
        <v>2047</v>
      </c>
      <c r="E141" s="9" t="s">
        <v>96</v>
      </c>
      <c r="F141" s="9" t="s">
        <v>9</v>
      </c>
      <c r="G141" s="30" t="s">
        <v>297</v>
      </c>
      <c r="H141" s="38">
        <f t="shared" si="4"/>
        <v>32.94</v>
      </c>
      <c r="I141" s="38">
        <f t="shared" si="6"/>
        <v>32.94</v>
      </c>
      <c r="K141" t="str">
        <f t="shared" si="5"/>
        <v>ELCNGA</v>
      </c>
    </row>
    <row r="142" spans="2:11" ht="13.2">
      <c r="C142" t="s">
        <v>8</v>
      </c>
      <c r="D142">
        <v>2048</v>
      </c>
      <c r="E142" s="9" t="s">
        <v>96</v>
      </c>
      <c r="F142" s="9" t="s">
        <v>9</v>
      </c>
      <c r="G142" s="30" t="s">
        <v>297</v>
      </c>
      <c r="H142" s="38">
        <f t="shared" si="4"/>
        <v>32.94</v>
      </c>
      <c r="I142" s="38">
        <f t="shared" si="6"/>
        <v>32.94</v>
      </c>
      <c r="K142" t="str">
        <f t="shared" si="5"/>
        <v>ELCNGA</v>
      </c>
    </row>
    <row r="143" spans="2:11" ht="13.2">
      <c r="C143" t="s">
        <v>8</v>
      </c>
      <c r="D143">
        <v>2049</v>
      </c>
      <c r="E143" s="9" t="s">
        <v>96</v>
      </c>
      <c r="F143" s="9" t="s">
        <v>9</v>
      </c>
      <c r="G143" s="30" t="s">
        <v>297</v>
      </c>
      <c r="H143" s="38">
        <f t="shared" si="4"/>
        <v>32.94</v>
      </c>
      <c r="I143" s="38">
        <f t="shared" si="6"/>
        <v>32.94</v>
      </c>
      <c r="K143" t="str">
        <f t="shared" si="5"/>
        <v>ELCNGA</v>
      </c>
    </row>
    <row r="144" spans="2:11" ht="13.2">
      <c r="B144" s="7"/>
      <c r="C144" s="7" t="s">
        <v>8</v>
      </c>
      <c r="D144" s="7">
        <v>2050</v>
      </c>
      <c r="E144" s="7" t="s">
        <v>96</v>
      </c>
      <c r="F144" s="7" t="s">
        <v>9</v>
      </c>
      <c r="G144" s="35" t="s">
        <v>297</v>
      </c>
      <c r="H144" s="38">
        <f t="shared" si="4"/>
        <v>32.94</v>
      </c>
      <c r="I144" s="38">
        <f t="shared" si="6"/>
        <v>32.94</v>
      </c>
      <c r="K144" t="str">
        <f t="shared" si="5"/>
        <v>ELCNGA</v>
      </c>
    </row>
    <row r="145" spans="3:11" ht="13.2">
      <c r="C145" t="s">
        <v>8</v>
      </c>
      <c r="D145">
        <v>2010</v>
      </c>
      <c r="E145" t="s">
        <v>97</v>
      </c>
      <c r="F145" s="9" t="s">
        <v>9</v>
      </c>
      <c r="G145" s="30" t="s">
        <v>297</v>
      </c>
      <c r="H145" s="38">
        <f t="shared" si="4"/>
        <v>35.355480573398125</v>
      </c>
      <c r="I145" s="38">
        <f t="shared" si="6"/>
        <v>35.355480573398125</v>
      </c>
      <c r="K145" t="str">
        <f t="shared" si="5"/>
        <v>ELCNGA</v>
      </c>
    </row>
    <row r="146" spans="3:11" ht="13.2">
      <c r="C146" t="s">
        <v>8</v>
      </c>
      <c r="D146">
        <v>2011</v>
      </c>
      <c r="E146" t="s">
        <v>97</v>
      </c>
      <c r="F146" s="9" t="s">
        <v>9</v>
      </c>
      <c r="G146" s="30" t="s">
        <v>297</v>
      </c>
      <c r="H146" s="38">
        <f t="shared" si="4"/>
        <v>35.079558172097755</v>
      </c>
      <c r="I146" s="38">
        <f t="shared" si="6"/>
        <v>35.079558172097755</v>
      </c>
      <c r="K146" t="str">
        <f t="shared" si="5"/>
        <v>ELCNGA</v>
      </c>
    </row>
    <row r="147" spans="3:11" ht="13.2">
      <c r="C147" t="s">
        <v>8</v>
      </c>
      <c r="D147">
        <v>2012</v>
      </c>
      <c r="E147" t="s">
        <v>97</v>
      </c>
      <c r="F147" s="9" t="s">
        <v>9</v>
      </c>
      <c r="G147" s="30" t="s">
        <v>297</v>
      </c>
      <c r="H147" s="38">
        <f t="shared" si="4"/>
        <v>35.090374720427818</v>
      </c>
      <c r="I147" s="38">
        <f t="shared" si="6"/>
        <v>35.090374720427818</v>
      </c>
      <c r="K147" t="str">
        <f t="shared" si="5"/>
        <v>ELCNGA</v>
      </c>
    </row>
    <row r="148" spans="3:11" ht="13.2">
      <c r="C148" t="s">
        <v>8</v>
      </c>
      <c r="D148">
        <v>2013</v>
      </c>
      <c r="E148" t="s">
        <v>97</v>
      </c>
      <c r="F148" s="9" t="s">
        <v>9</v>
      </c>
      <c r="G148" s="30" t="s">
        <v>297</v>
      </c>
      <c r="H148" s="38">
        <f t="shared" ref="H148:H211" si="7">HLOOKUP(K148,FuelTax2,D148-2006,FALSE)*$B$10</f>
        <v>35.397598889545286</v>
      </c>
      <c r="I148" s="38">
        <f t="shared" si="6"/>
        <v>35.397598889545286</v>
      </c>
      <c r="K148" t="str">
        <f t="shared" si="5"/>
        <v>ELCNGA</v>
      </c>
    </row>
    <row r="149" spans="3:11" ht="13.2">
      <c r="C149" t="s">
        <v>8</v>
      </c>
      <c r="D149">
        <v>2014</v>
      </c>
      <c r="E149" t="s">
        <v>97</v>
      </c>
      <c r="F149" s="9" t="s">
        <v>9</v>
      </c>
      <c r="G149" s="30" t="s">
        <v>297</v>
      </c>
      <c r="H149" s="38">
        <f t="shared" si="7"/>
        <v>35.758594704684313</v>
      </c>
      <c r="I149" s="38">
        <f t="shared" si="6"/>
        <v>35.758594704684313</v>
      </c>
      <c r="K149" t="str">
        <f t="shared" ref="K149:K212" si="8">IF(LEFT(F149,1)="E",F149,"ELC"&amp;F149)</f>
        <v>ELCNGA</v>
      </c>
    </row>
    <row r="150" spans="3:11" ht="13.2">
      <c r="C150" t="s">
        <v>8</v>
      </c>
      <c r="D150">
        <v>2015</v>
      </c>
      <c r="E150" t="s">
        <v>97</v>
      </c>
      <c r="F150" s="9" t="s">
        <v>9</v>
      </c>
      <c r="G150" s="30" t="s">
        <v>297</v>
      </c>
      <c r="H150" s="38">
        <f t="shared" si="7"/>
        <v>32.94</v>
      </c>
      <c r="I150" s="38">
        <f t="shared" si="6"/>
        <v>32.94</v>
      </c>
      <c r="K150" t="str">
        <f t="shared" si="8"/>
        <v>ELCNGA</v>
      </c>
    </row>
    <row r="151" spans="3:11" ht="13.2">
      <c r="C151" t="s">
        <v>8</v>
      </c>
      <c r="D151">
        <v>2016</v>
      </c>
      <c r="E151" t="s">
        <v>97</v>
      </c>
      <c r="F151" s="9" t="s">
        <v>9</v>
      </c>
      <c r="G151" s="30" t="s">
        <v>297</v>
      </c>
      <c r="H151" s="38">
        <f t="shared" si="7"/>
        <v>32.94</v>
      </c>
      <c r="I151" s="38">
        <f t="shared" si="6"/>
        <v>32.94</v>
      </c>
      <c r="K151" t="str">
        <f t="shared" si="8"/>
        <v>ELCNGA</v>
      </c>
    </row>
    <row r="152" spans="3:11" ht="13.2">
      <c r="C152" t="s">
        <v>8</v>
      </c>
      <c r="D152">
        <v>2017</v>
      </c>
      <c r="E152" t="s">
        <v>97</v>
      </c>
      <c r="F152" s="9" t="s">
        <v>9</v>
      </c>
      <c r="G152" s="30" t="s">
        <v>297</v>
      </c>
      <c r="H152" s="38">
        <f t="shared" si="7"/>
        <v>32.94</v>
      </c>
      <c r="I152" s="38">
        <f t="shared" si="6"/>
        <v>32.94</v>
      </c>
      <c r="K152" t="str">
        <f t="shared" si="8"/>
        <v>ELCNGA</v>
      </c>
    </row>
    <row r="153" spans="3:11" ht="13.2">
      <c r="C153" t="s">
        <v>8</v>
      </c>
      <c r="D153">
        <v>2018</v>
      </c>
      <c r="E153" t="s">
        <v>97</v>
      </c>
      <c r="F153" s="9" t="s">
        <v>9</v>
      </c>
      <c r="G153" s="30" t="s">
        <v>297</v>
      </c>
      <c r="H153" s="38">
        <f t="shared" si="7"/>
        <v>32.94</v>
      </c>
      <c r="I153" s="38">
        <f t="shared" si="6"/>
        <v>32.94</v>
      </c>
      <c r="K153" t="str">
        <f t="shared" si="8"/>
        <v>ELCNGA</v>
      </c>
    </row>
    <row r="154" spans="3:11" ht="13.2">
      <c r="C154" t="s">
        <v>8</v>
      </c>
      <c r="D154">
        <v>2019</v>
      </c>
      <c r="E154" t="s">
        <v>97</v>
      </c>
      <c r="F154" s="9" t="s">
        <v>9</v>
      </c>
      <c r="G154" s="30" t="s">
        <v>297</v>
      </c>
      <c r="H154" s="38">
        <f t="shared" si="7"/>
        <v>32.94</v>
      </c>
      <c r="I154" s="38">
        <f t="shared" si="6"/>
        <v>32.94</v>
      </c>
      <c r="K154" t="str">
        <f t="shared" si="8"/>
        <v>ELCNGA</v>
      </c>
    </row>
    <row r="155" spans="3:11" ht="13.2">
      <c r="C155" t="s">
        <v>8</v>
      </c>
      <c r="D155">
        <v>2020</v>
      </c>
      <c r="E155" t="s">
        <v>97</v>
      </c>
      <c r="F155" s="9" t="s">
        <v>9</v>
      </c>
      <c r="G155" s="30" t="s">
        <v>297</v>
      </c>
      <c r="H155" s="38">
        <f t="shared" si="7"/>
        <v>32.94</v>
      </c>
      <c r="I155" s="38">
        <f t="shared" si="6"/>
        <v>32.94</v>
      </c>
      <c r="K155" t="str">
        <f t="shared" si="8"/>
        <v>ELCNGA</v>
      </c>
    </row>
    <row r="156" spans="3:11" ht="13.2">
      <c r="C156" t="s">
        <v>8</v>
      </c>
      <c r="D156">
        <v>2021</v>
      </c>
      <c r="E156" t="s">
        <v>97</v>
      </c>
      <c r="F156" s="9" t="s">
        <v>9</v>
      </c>
      <c r="G156" s="30" t="s">
        <v>297</v>
      </c>
      <c r="H156" s="38">
        <f t="shared" si="7"/>
        <v>32.94</v>
      </c>
      <c r="I156" s="38">
        <f t="shared" si="6"/>
        <v>32.94</v>
      </c>
      <c r="K156" t="str">
        <f t="shared" si="8"/>
        <v>ELCNGA</v>
      </c>
    </row>
    <row r="157" spans="3:11" ht="13.2">
      <c r="C157" t="s">
        <v>8</v>
      </c>
      <c r="D157">
        <v>2022</v>
      </c>
      <c r="E157" t="s">
        <v>97</v>
      </c>
      <c r="F157" s="9" t="s">
        <v>9</v>
      </c>
      <c r="G157" s="30" t="s">
        <v>297</v>
      </c>
      <c r="H157" s="38">
        <f t="shared" si="7"/>
        <v>32.94</v>
      </c>
      <c r="I157" s="38">
        <f t="shared" si="6"/>
        <v>32.94</v>
      </c>
      <c r="K157" t="str">
        <f t="shared" si="8"/>
        <v>ELCNGA</v>
      </c>
    </row>
    <row r="158" spans="3:11" ht="13.2">
      <c r="C158" t="s">
        <v>8</v>
      </c>
      <c r="D158">
        <v>2023</v>
      </c>
      <c r="E158" t="s">
        <v>97</v>
      </c>
      <c r="F158" s="9" t="s">
        <v>9</v>
      </c>
      <c r="G158" s="30" t="s">
        <v>297</v>
      </c>
      <c r="H158" s="38">
        <f t="shared" si="7"/>
        <v>32.94</v>
      </c>
      <c r="I158" s="38">
        <f t="shared" si="6"/>
        <v>32.94</v>
      </c>
      <c r="K158" t="str">
        <f t="shared" si="8"/>
        <v>ELCNGA</v>
      </c>
    </row>
    <row r="159" spans="3:11" ht="13.2">
      <c r="C159" t="s">
        <v>8</v>
      </c>
      <c r="D159">
        <v>2024</v>
      </c>
      <c r="E159" t="s">
        <v>97</v>
      </c>
      <c r="F159" s="9" t="s">
        <v>9</v>
      </c>
      <c r="G159" s="30" t="s">
        <v>297</v>
      </c>
      <c r="H159" s="38">
        <f t="shared" si="7"/>
        <v>32.94</v>
      </c>
      <c r="I159" s="38">
        <f t="shared" si="6"/>
        <v>32.94</v>
      </c>
      <c r="K159" t="str">
        <f t="shared" si="8"/>
        <v>ELCNGA</v>
      </c>
    </row>
    <row r="160" spans="3:11" ht="13.2">
      <c r="C160" t="s">
        <v>8</v>
      </c>
      <c r="D160">
        <v>2025</v>
      </c>
      <c r="E160" t="s">
        <v>97</v>
      </c>
      <c r="F160" s="9" t="s">
        <v>9</v>
      </c>
      <c r="G160" s="30" t="s">
        <v>297</v>
      </c>
      <c r="H160" s="38">
        <f t="shared" si="7"/>
        <v>32.94</v>
      </c>
      <c r="I160" s="38">
        <f t="shared" si="6"/>
        <v>32.94</v>
      </c>
      <c r="K160" t="str">
        <f t="shared" si="8"/>
        <v>ELCNGA</v>
      </c>
    </row>
    <row r="161" spans="3:11" ht="13.2">
      <c r="C161" t="s">
        <v>8</v>
      </c>
      <c r="D161">
        <v>2026</v>
      </c>
      <c r="E161" t="s">
        <v>97</v>
      </c>
      <c r="F161" s="9" t="s">
        <v>9</v>
      </c>
      <c r="G161" s="30" t="s">
        <v>297</v>
      </c>
      <c r="H161" s="38">
        <f t="shared" si="7"/>
        <v>32.94</v>
      </c>
      <c r="I161" s="38">
        <f t="shared" si="6"/>
        <v>32.94</v>
      </c>
      <c r="K161" t="str">
        <f t="shared" si="8"/>
        <v>ELCNGA</v>
      </c>
    </row>
    <row r="162" spans="3:11" ht="13.2">
      <c r="C162" t="s">
        <v>8</v>
      </c>
      <c r="D162">
        <v>2027</v>
      </c>
      <c r="E162" t="s">
        <v>97</v>
      </c>
      <c r="F162" s="9" t="s">
        <v>9</v>
      </c>
      <c r="G162" s="30" t="s">
        <v>297</v>
      </c>
      <c r="H162" s="38">
        <f t="shared" si="7"/>
        <v>32.94</v>
      </c>
      <c r="I162" s="38">
        <f t="shared" si="6"/>
        <v>32.94</v>
      </c>
      <c r="K162" t="str">
        <f t="shared" si="8"/>
        <v>ELCNGA</v>
      </c>
    </row>
    <row r="163" spans="3:11" ht="13.2">
      <c r="C163" t="s">
        <v>8</v>
      </c>
      <c r="D163">
        <v>2028</v>
      </c>
      <c r="E163" t="s">
        <v>97</v>
      </c>
      <c r="F163" s="9" t="s">
        <v>9</v>
      </c>
      <c r="G163" s="30" t="s">
        <v>297</v>
      </c>
      <c r="H163" s="38">
        <f t="shared" si="7"/>
        <v>32.94</v>
      </c>
      <c r="I163" s="38">
        <f t="shared" si="6"/>
        <v>32.94</v>
      </c>
      <c r="K163" t="str">
        <f t="shared" si="8"/>
        <v>ELCNGA</v>
      </c>
    </row>
    <row r="164" spans="3:11" ht="13.2">
      <c r="C164" t="s">
        <v>8</v>
      </c>
      <c r="D164">
        <v>2029</v>
      </c>
      <c r="E164" t="s">
        <v>97</v>
      </c>
      <c r="F164" s="9" t="s">
        <v>9</v>
      </c>
      <c r="G164" s="30" t="s">
        <v>297</v>
      </c>
      <c r="H164" s="38">
        <f t="shared" si="7"/>
        <v>32.94</v>
      </c>
      <c r="I164" s="38">
        <f t="shared" si="6"/>
        <v>32.94</v>
      </c>
      <c r="K164" t="str">
        <f t="shared" si="8"/>
        <v>ELCNGA</v>
      </c>
    </row>
    <row r="165" spans="3:11" ht="13.2">
      <c r="C165" t="s">
        <v>8</v>
      </c>
      <c r="D165">
        <v>2030</v>
      </c>
      <c r="E165" t="s">
        <v>97</v>
      </c>
      <c r="F165" s="9" t="s">
        <v>9</v>
      </c>
      <c r="G165" s="30" t="s">
        <v>297</v>
      </c>
      <c r="H165" s="38">
        <f t="shared" si="7"/>
        <v>32.94</v>
      </c>
      <c r="I165" s="38">
        <f t="shared" si="6"/>
        <v>32.94</v>
      </c>
      <c r="K165" t="str">
        <f t="shared" si="8"/>
        <v>ELCNGA</v>
      </c>
    </row>
    <row r="166" spans="3:11" ht="13.2">
      <c r="C166" t="s">
        <v>8</v>
      </c>
      <c r="D166">
        <v>2031</v>
      </c>
      <c r="E166" t="s">
        <v>97</v>
      </c>
      <c r="F166" s="9" t="s">
        <v>9</v>
      </c>
      <c r="G166" s="30" t="s">
        <v>297</v>
      </c>
      <c r="H166" s="38">
        <f t="shared" si="7"/>
        <v>32.94</v>
      </c>
      <c r="I166" s="38">
        <f t="shared" si="6"/>
        <v>32.94</v>
      </c>
      <c r="K166" t="str">
        <f t="shared" si="8"/>
        <v>ELCNGA</v>
      </c>
    </row>
    <row r="167" spans="3:11" ht="13.2">
      <c r="C167" t="s">
        <v>8</v>
      </c>
      <c r="D167">
        <v>2032</v>
      </c>
      <c r="E167" t="s">
        <v>97</v>
      </c>
      <c r="F167" s="9" t="s">
        <v>9</v>
      </c>
      <c r="G167" s="30" t="s">
        <v>297</v>
      </c>
      <c r="H167" s="38">
        <f t="shared" si="7"/>
        <v>32.94</v>
      </c>
      <c r="I167" s="38">
        <f t="shared" si="6"/>
        <v>32.94</v>
      </c>
      <c r="K167" t="str">
        <f t="shared" si="8"/>
        <v>ELCNGA</v>
      </c>
    </row>
    <row r="168" spans="3:11" ht="13.2">
      <c r="C168" t="s">
        <v>8</v>
      </c>
      <c r="D168">
        <v>2033</v>
      </c>
      <c r="E168" t="s">
        <v>97</v>
      </c>
      <c r="F168" s="9" t="s">
        <v>9</v>
      </c>
      <c r="G168" s="30" t="s">
        <v>297</v>
      </c>
      <c r="H168" s="38">
        <f t="shared" si="7"/>
        <v>32.94</v>
      </c>
      <c r="I168" s="38">
        <f t="shared" si="6"/>
        <v>32.94</v>
      </c>
      <c r="K168" t="str">
        <f t="shared" si="8"/>
        <v>ELCNGA</v>
      </c>
    </row>
    <row r="169" spans="3:11" ht="13.2">
      <c r="C169" t="s">
        <v>8</v>
      </c>
      <c r="D169">
        <v>2034</v>
      </c>
      <c r="E169" t="s">
        <v>97</v>
      </c>
      <c r="F169" s="9" t="s">
        <v>9</v>
      </c>
      <c r="G169" s="30" t="s">
        <v>297</v>
      </c>
      <c r="H169" s="38">
        <f t="shared" si="7"/>
        <v>32.94</v>
      </c>
      <c r="I169" s="38">
        <f t="shared" si="6"/>
        <v>32.94</v>
      </c>
      <c r="K169" t="str">
        <f t="shared" si="8"/>
        <v>ELCNGA</v>
      </c>
    </row>
    <row r="170" spans="3:11" ht="13.2">
      <c r="C170" t="s">
        <v>8</v>
      </c>
      <c r="D170">
        <v>2035</v>
      </c>
      <c r="E170" t="s">
        <v>97</v>
      </c>
      <c r="F170" s="9" t="s">
        <v>9</v>
      </c>
      <c r="G170" s="30" t="s">
        <v>297</v>
      </c>
      <c r="H170" s="38">
        <f t="shared" si="7"/>
        <v>32.94</v>
      </c>
      <c r="I170" s="38">
        <f t="shared" si="6"/>
        <v>32.94</v>
      </c>
      <c r="K170" t="str">
        <f t="shared" si="8"/>
        <v>ELCNGA</v>
      </c>
    </row>
    <row r="171" spans="3:11" ht="13.2">
      <c r="C171" t="s">
        <v>8</v>
      </c>
      <c r="D171">
        <v>2036</v>
      </c>
      <c r="E171" t="s">
        <v>97</v>
      </c>
      <c r="F171" s="9" t="s">
        <v>9</v>
      </c>
      <c r="G171" s="30" t="s">
        <v>297</v>
      </c>
      <c r="H171" s="38">
        <f t="shared" si="7"/>
        <v>32.94</v>
      </c>
      <c r="I171" s="38">
        <f t="shared" si="6"/>
        <v>32.94</v>
      </c>
      <c r="K171" t="str">
        <f t="shared" si="8"/>
        <v>ELCNGA</v>
      </c>
    </row>
    <row r="172" spans="3:11" ht="13.2">
      <c r="C172" t="s">
        <v>8</v>
      </c>
      <c r="D172">
        <v>2037</v>
      </c>
      <c r="E172" t="s">
        <v>97</v>
      </c>
      <c r="F172" s="9" t="s">
        <v>9</v>
      </c>
      <c r="G172" s="30" t="s">
        <v>297</v>
      </c>
      <c r="H172" s="38">
        <f t="shared" si="7"/>
        <v>32.94</v>
      </c>
      <c r="I172" s="38">
        <f t="shared" si="6"/>
        <v>32.94</v>
      </c>
      <c r="K172" t="str">
        <f t="shared" si="8"/>
        <v>ELCNGA</v>
      </c>
    </row>
    <row r="173" spans="3:11" ht="13.2">
      <c r="C173" t="s">
        <v>8</v>
      </c>
      <c r="D173">
        <v>2038</v>
      </c>
      <c r="E173" t="s">
        <v>97</v>
      </c>
      <c r="F173" s="9" t="s">
        <v>9</v>
      </c>
      <c r="G173" s="30" t="s">
        <v>297</v>
      </c>
      <c r="H173" s="38">
        <f t="shared" si="7"/>
        <v>32.94</v>
      </c>
      <c r="I173" s="38">
        <f t="shared" si="6"/>
        <v>32.94</v>
      </c>
      <c r="K173" t="str">
        <f t="shared" si="8"/>
        <v>ELCNGA</v>
      </c>
    </row>
    <row r="174" spans="3:11" ht="13.2">
      <c r="C174" t="s">
        <v>8</v>
      </c>
      <c r="D174">
        <v>2039</v>
      </c>
      <c r="E174" t="s">
        <v>97</v>
      </c>
      <c r="F174" s="9" t="s">
        <v>9</v>
      </c>
      <c r="G174" s="30" t="s">
        <v>297</v>
      </c>
      <c r="H174" s="38">
        <f t="shared" si="7"/>
        <v>32.94</v>
      </c>
      <c r="I174" s="38">
        <f t="shared" si="6"/>
        <v>32.94</v>
      </c>
      <c r="K174" t="str">
        <f t="shared" si="8"/>
        <v>ELCNGA</v>
      </c>
    </row>
    <row r="175" spans="3:11" ht="13.2">
      <c r="C175" t="s">
        <v>8</v>
      </c>
      <c r="D175">
        <v>2040</v>
      </c>
      <c r="E175" t="s">
        <v>97</v>
      </c>
      <c r="F175" s="9" t="s">
        <v>9</v>
      </c>
      <c r="G175" s="30" t="s">
        <v>297</v>
      </c>
      <c r="H175" s="38">
        <f t="shared" si="7"/>
        <v>32.94</v>
      </c>
      <c r="I175" s="38">
        <f t="shared" si="6"/>
        <v>32.94</v>
      </c>
      <c r="K175" t="str">
        <f t="shared" si="8"/>
        <v>ELCNGA</v>
      </c>
    </row>
    <row r="176" spans="3:11" ht="13.2">
      <c r="C176" t="s">
        <v>8</v>
      </c>
      <c r="D176">
        <v>2041</v>
      </c>
      <c r="E176" t="s">
        <v>97</v>
      </c>
      <c r="F176" s="9" t="s">
        <v>9</v>
      </c>
      <c r="G176" s="30" t="s">
        <v>297</v>
      </c>
      <c r="H176" s="38">
        <f t="shared" si="7"/>
        <v>32.94</v>
      </c>
      <c r="I176" s="38">
        <f t="shared" si="6"/>
        <v>32.94</v>
      </c>
      <c r="K176" t="str">
        <f t="shared" si="8"/>
        <v>ELCNGA</v>
      </c>
    </row>
    <row r="177" spans="2:11" ht="13.2">
      <c r="C177" t="s">
        <v>8</v>
      </c>
      <c r="D177">
        <v>2042</v>
      </c>
      <c r="E177" t="s">
        <v>97</v>
      </c>
      <c r="F177" s="9" t="s">
        <v>9</v>
      </c>
      <c r="G177" s="30" t="s">
        <v>297</v>
      </c>
      <c r="H177" s="38">
        <f t="shared" si="7"/>
        <v>32.94</v>
      </c>
      <c r="I177" s="38">
        <f t="shared" si="6"/>
        <v>32.94</v>
      </c>
      <c r="K177" t="str">
        <f t="shared" si="8"/>
        <v>ELCNGA</v>
      </c>
    </row>
    <row r="178" spans="2:11" ht="13.2">
      <c r="C178" t="s">
        <v>8</v>
      </c>
      <c r="D178">
        <v>2043</v>
      </c>
      <c r="E178" t="s">
        <v>97</v>
      </c>
      <c r="F178" s="9" t="s">
        <v>9</v>
      </c>
      <c r="G178" s="30" t="s">
        <v>297</v>
      </c>
      <c r="H178" s="38">
        <f t="shared" si="7"/>
        <v>32.94</v>
      </c>
      <c r="I178" s="38">
        <f t="shared" si="6"/>
        <v>32.94</v>
      </c>
      <c r="K178" t="str">
        <f t="shared" si="8"/>
        <v>ELCNGA</v>
      </c>
    </row>
    <row r="179" spans="2:11" ht="13.2">
      <c r="C179" t="s">
        <v>8</v>
      </c>
      <c r="D179">
        <v>2044</v>
      </c>
      <c r="E179" t="s">
        <v>97</v>
      </c>
      <c r="F179" s="9" t="s">
        <v>9</v>
      </c>
      <c r="G179" s="30" t="s">
        <v>297</v>
      </c>
      <c r="H179" s="38">
        <f t="shared" si="7"/>
        <v>32.94</v>
      </c>
      <c r="I179" s="38">
        <f t="shared" si="6"/>
        <v>32.94</v>
      </c>
      <c r="K179" t="str">
        <f t="shared" si="8"/>
        <v>ELCNGA</v>
      </c>
    </row>
    <row r="180" spans="2:11" ht="13.2">
      <c r="C180" t="s">
        <v>8</v>
      </c>
      <c r="D180">
        <v>2045</v>
      </c>
      <c r="E180" t="s">
        <v>97</v>
      </c>
      <c r="F180" s="9" t="s">
        <v>9</v>
      </c>
      <c r="G180" s="30" t="s">
        <v>297</v>
      </c>
      <c r="H180" s="38">
        <f t="shared" si="7"/>
        <v>32.94</v>
      </c>
      <c r="I180" s="38">
        <f t="shared" si="6"/>
        <v>32.94</v>
      </c>
      <c r="K180" t="str">
        <f t="shared" si="8"/>
        <v>ELCNGA</v>
      </c>
    </row>
    <row r="181" spans="2:11" ht="13.2">
      <c r="C181" t="s">
        <v>8</v>
      </c>
      <c r="D181">
        <v>2046</v>
      </c>
      <c r="E181" t="s">
        <v>97</v>
      </c>
      <c r="F181" s="9" t="s">
        <v>9</v>
      </c>
      <c r="G181" s="30" t="s">
        <v>297</v>
      </c>
      <c r="H181" s="38">
        <f t="shared" si="7"/>
        <v>32.94</v>
      </c>
      <c r="I181" s="38">
        <f t="shared" si="6"/>
        <v>32.94</v>
      </c>
      <c r="K181" t="str">
        <f t="shared" si="8"/>
        <v>ELCNGA</v>
      </c>
    </row>
    <row r="182" spans="2:11" ht="13.2">
      <c r="C182" t="s">
        <v>8</v>
      </c>
      <c r="D182">
        <v>2047</v>
      </c>
      <c r="E182" t="s">
        <v>97</v>
      </c>
      <c r="F182" s="9" t="s">
        <v>9</v>
      </c>
      <c r="G182" s="30" t="s">
        <v>297</v>
      </c>
      <c r="H182" s="38">
        <f t="shared" si="7"/>
        <v>32.94</v>
      </c>
      <c r="I182" s="38">
        <f t="shared" si="6"/>
        <v>32.94</v>
      </c>
      <c r="K182" t="str">
        <f t="shared" si="8"/>
        <v>ELCNGA</v>
      </c>
    </row>
    <row r="183" spans="2:11" ht="13.2">
      <c r="C183" t="s">
        <v>8</v>
      </c>
      <c r="D183">
        <v>2048</v>
      </c>
      <c r="E183" t="s">
        <v>97</v>
      </c>
      <c r="F183" s="9" t="s">
        <v>9</v>
      </c>
      <c r="G183" s="30" t="s">
        <v>297</v>
      </c>
      <c r="H183" s="38">
        <f t="shared" si="7"/>
        <v>32.94</v>
      </c>
      <c r="I183" s="38">
        <f t="shared" si="6"/>
        <v>32.94</v>
      </c>
      <c r="K183" t="str">
        <f t="shared" si="8"/>
        <v>ELCNGA</v>
      </c>
    </row>
    <row r="184" spans="2:11" ht="13.2">
      <c r="C184" t="s">
        <v>8</v>
      </c>
      <c r="D184">
        <v>2049</v>
      </c>
      <c r="E184" s="9" t="s">
        <v>97</v>
      </c>
      <c r="F184" s="9" t="s">
        <v>9</v>
      </c>
      <c r="G184" s="30" t="s">
        <v>297</v>
      </c>
      <c r="H184" s="38">
        <f t="shared" si="7"/>
        <v>32.94</v>
      </c>
      <c r="I184" s="38">
        <f t="shared" si="6"/>
        <v>32.94</v>
      </c>
      <c r="K184" t="str">
        <f t="shared" si="8"/>
        <v>ELCNGA</v>
      </c>
    </row>
    <row r="185" spans="2:11" ht="13.2">
      <c r="B185" s="7"/>
      <c r="C185" s="7" t="s">
        <v>8</v>
      </c>
      <c r="D185" s="7">
        <v>2050</v>
      </c>
      <c r="E185" s="7" t="s">
        <v>97</v>
      </c>
      <c r="F185" s="7" t="s">
        <v>9</v>
      </c>
      <c r="G185" s="35" t="s">
        <v>297</v>
      </c>
      <c r="H185" s="38">
        <f t="shared" si="7"/>
        <v>32.94</v>
      </c>
      <c r="I185" s="38">
        <f t="shared" si="6"/>
        <v>32.94</v>
      </c>
      <c r="K185" t="str">
        <f t="shared" si="8"/>
        <v>ELCNGA</v>
      </c>
    </row>
    <row r="186" spans="2:11" ht="13.2">
      <c r="C186" t="s">
        <v>8</v>
      </c>
      <c r="D186">
        <v>2010</v>
      </c>
      <c r="E186" t="s">
        <v>98</v>
      </c>
      <c r="F186" s="9" t="s">
        <v>9</v>
      </c>
      <c r="G186" s="30" t="s">
        <v>297</v>
      </c>
      <c r="H186" s="38">
        <f t="shared" si="7"/>
        <v>35.355480573398125</v>
      </c>
      <c r="I186" s="38">
        <f t="shared" si="6"/>
        <v>35.355480573398125</v>
      </c>
      <c r="K186" t="str">
        <f t="shared" si="8"/>
        <v>ELCNGA</v>
      </c>
    </row>
    <row r="187" spans="2:11" ht="13.2">
      <c r="C187" t="s">
        <v>8</v>
      </c>
      <c r="D187">
        <v>2011</v>
      </c>
      <c r="E187" t="s">
        <v>98</v>
      </c>
      <c r="F187" s="9" t="s">
        <v>9</v>
      </c>
      <c r="G187" s="30" t="s">
        <v>297</v>
      </c>
      <c r="H187" s="38">
        <f t="shared" si="7"/>
        <v>35.079558172097755</v>
      </c>
      <c r="I187" s="38">
        <f t="shared" si="6"/>
        <v>35.079558172097755</v>
      </c>
      <c r="K187" t="str">
        <f t="shared" si="8"/>
        <v>ELCNGA</v>
      </c>
    </row>
    <row r="188" spans="2:11" ht="13.2">
      <c r="C188" t="s">
        <v>8</v>
      </c>
      <c r="D188">
        <v>2012</v>
      </c>
      <c r="E188" t="s">
        <v>98</v>
      </c>
      <c r="F188" s="9" t="s">
        <v>9</v>
      </c>
      <c r="G188" s="30" t="s">
        <v>297</v>
      </c>
      <c r="H188" s="38">
        <f t="shared" si="7"/>
        <v>35.090374720427818</v>
      </c>
      <c r="I188" s="38">
        <f t="shared" si="6"/>
        <v>35.090374720427818</v>
      </c>
      <c r="K188" t="str">
        <f t="shared" si="8"/>
        <v>ELCNGA</v>
      </c>
    </row>
    <row r="189" spans="2:11" ht="13.2">
      <c r="C189" t="s">
        <v>8</v>
      </c>
      <c r="D189">
        <v>2013</v>
      </c>
      <c r="E189" t="s">
        <v>98</v>
      </c>
      <c r="F189" s="9" t="s">
        <v>9</v>
      </c>
      <c r="G189" s="30" t="s">
        <v>297</v>
      </c>
      <c r="H189" s="38">
        <f t="shared" si="7"/>
        <v>35.397598889545286</v>
      </c>
      <c r="I189" s="38">
        <f t="shared" si="6"/>
        <v>35.397598889545286</v>
      </c>
      <c r="K189" t="str">
        <f t="shared" si="8"/>
        <v>ELCNGA</v>
      </c>
    </row>
    <row r="190" spans="2:11" ht="13.2">
      <c r="C190" t="s">
        <v>8</v>
      </c>
      <c r="D190">
        <v>2014</v>
      </c>
      <c r="E190" t="s">
        <v>98</v>
      </c>
      <c r="F190" s="9" t="s">
        <v>9</v>
      </c>
      <c r="G190" s="30" t="s">
        <v>297</v>
      </c>
      <c r="H190" s="38">
        <f t="shared" si="7"/>
        <v>35.758594704684313</v>
      </c>
      <c r="I190" s="38">
        <f t="shared" si="6"/>
        <v>35.758594704684313</v>
      </c>
      <c r="K190" t="str">
        <f t="shared" si="8"/>
        <v>ELCNGA</v>
      </c>
    </row>
    <row r="191" spans="2:11" ht="13.2">
      <c r="C191" t="s">
        <v>8</v>
      </c>
      <c r="D191">
        <v>2015</v>
      </c>
      <c r="E191" t="s">
        <v>98</v>
      </c>
      <c r="F191" s="9" t="s">
        <v>9</v>
      </c>
      <c r="G191" s="30" t="s">
        <v>297</v>
      </c>
      <c r="H191" s="38">
        <f t="shared" si="7"/>
        <v>32.94</v>
      </c>
      <c r="I191" s="38">
        <f t="shared" si="6"/>
        <v>32.94</v>
      </c>
      <c r="K191" t="str">
        <f t="shared" si="8"/>
        <v>ELCNGA</v>
      </c>
    </row>
    <row r="192" spans="2:11" ht="13.2">
      <c r="C192" t="s">
        <v>8</v>
      </c>
      <c r="D192">
        <v>2016</v>
      </c>
      <c r="E192" t="s">
        <v>98</v>
      </c>
      <c r="F192" s="9" t="s">
        <v>9</v>
      </c>
      <c r="G192" s="30" t="s">
        <v>297</v>
      </c>
      <c r="H192" s="38">
        <f t="shared" si="7"/>
        <v>32.94</v>
      </c>
      <c r="I192" s="38">
        <f t="shared" ref="I192:I255" si="9">H192</f>
        <v>32.94</v>
      </c>
      <c r="K192" t="str">
        <f t="shared" si="8"/>
        <v>ELCNGA</v>
      </c>
    </row>
    <row r="193" spans="3:11" ht="13.2">
      <c r="C193" t="s">
        <v>8</v>
      </c>
      <c r="D193">
        <v>2017</v>
      </c>
      <c r="E193" t="s">
        <v>98</v>
      </c>
      <c r="F193" s="9" t="s">
        <v>9</v>
      </c>
      <c r="G193" s="30" t="s">
        <v>297</v>
      </c>
      <c r="H193" s="38">
        <f t="shared" si="7"/>
        <v>32.94</v>
      </c>
      <c r="I193" s="38">
        <f t="shared" si="9"/>
        <v>32.94</v>
      </c>
      <c r="K193" t="str">
        <f t="shared" si="8"/>
        <v>ELCNGA</v>
      </c>
    </row>
    <row r="194" spans="3:11" ht="13.2">
      <c r="C194" t="s">
        <v>8</v>
      </c>
      <c r="D194">
        <v>2018</v>
      </c>
      <c r="E194" t="s">
        <v>98</v>
      </c>
      <c r="F194" s="9" t="s">
        <v>9</v>
      </c>
      <c r="G194" s="30" t="s">
        <v>297</v>
      </c>
      <c r="H194" s="38">
        <f t="shared" si="7"/>
        <v>32.94</v>
      </c>
      <c r="I194" s="38">
        <f t="shared" si="9"/>
        <v>32.94</v>
      </c>
      <c r="K194" t="str">
        <f t="shared" si="8"/>
        <v>ELCNGA</v>
      </c>
    </row>
    <row r="195" spans="3:11" ht="13.2">
      <c r="C195" t="s">
        <v>8</v>
      </c>
      <c r="D195">
        <v>2019</v>
      </c>
      <c r="E195" t="s">
        <v>98</v>
      </c>
      <c r="F195" s="9" t="s">
        <v>9</v>
      </c>
      <c r="G195" s="30" t="s">
        <v>297</v>
      </c>
      <c r="H195" s="38">
        <f t="shared" si="7"/>
        <v>32.94</v>
      </c>
      <c r="I195" s="38">
        <f t="shared" si="9"/>
        <v>32.94</v>
      </c>
      <c r="K195" t="str">
        <f t="shared" si="8"/>
        <v>ELCNGA</v>
      </c>
    </row>
    <row r="196" spans="3:11" ht="13.2">
      <c r="C196" t="s">
        <v>8</v>
      </c>
      <c r="D196">
        <v>2020</v>
      </c>
      <c r="E196" t="s">
        <v>98</v>
      </c>
      <c r="F196" s="9" t="s">
        <v>9</v>
      </c>
      <c r="G196" s="30" t="s">
        <v>297</v>
      </c>
      <c r="H196" s="38">
        <f t="shared" si="7"/>
        <v>32.94</v>
      </c>
      <c r="I196" s="38">
        <f t="shared" si="9"/>
        <v>32.94</v>
      </c>
      <c r="K196" t="str">
        <f t="shared" si="8"/>
        <v>ELCNGA</v>
      </c>
    </row>
    <row r="197" spans="3:11" ht="13.2">
      <c r="C197" t="s">
        <v>8</v>
      </c>
      <c r="D197">
        <v>2021</v>
      </c>
      <c r="E197" t="s">
        <v>98</v>
      </c>
      <c r="F197" s="9" t="s">
        <v>9</v>
      </c>
      <c r="G197" s="30" t="s">
        <v>297</v>
      </c>
      <c r="H197" s="38">
        <f t="shared" si="7"/>
        <v>32.94</v>
      </c>
      <c r="I197" s="38">
        <f t="shared" si="9"/>
        <v>32.94</v>
      </c>
      <c r="K197" t="str">
        <f t="shared" si="8"/>
        <v>ELCNGA</v>
      </c>
    </row>
    <row r="198" spans="3:11" ht="13.2">
      <c r="C198" t="s">
        <v>8</v>
      </c>
      <c r="D198">
        <v>2022</v>
      </c>
      <c r="E198" t="s">
        <v>98</v>
      </c>
      <c r="F198" s="9" t="s">
        <v>9</v>
      </c>
      <c r="G198" s="30" t="s">
        <v>297</v>
      </c>
      <c r="H198" s="38">
        <f t="shared" si="7"/>
        <v>32.94</v>
      </c>
      <c r="I198" s="38">
        <f t="shared" si="9"/>
        <v>32.94</v>
      </c>
      <c r="K198" t="str">
        <f t="shared" si="8"/>
        <v>ELCNGA</v>
      </c>
    </row>
    <row r="199" spans="3:11" ht="13.2">
      <c r="C199" t="s">
        <v>8</v>
      </c>
      <c r="D199">
        <v>2023</v>
      </c>
      <c r="E199" t="s">
        <v>98</v>
      </c>
      <c r="F199" s="9" t="s">
        <v>9</v>
      </c>
      <c r="G199" s="30" t="s">
        <v>297</v>
      </c>
      <c r="H199" s="38">
        <f t="shared" si="7"/>
        <v>32.94</v>
      </c>
      <c r="I199" s="38">
        <f t="shared" si="9"/>
        <v>32.94</v>
      </c>
      <c r="K199" t="str">
        <f t="shared" si="8"/>
        <v>ELCNGA</v>
      </c>
    </row>
    <row r="200" spans="3:11" ht="13.2">
      <c r="C200" t="s">
        <v>8</v>
      </c>
      <c r="D200">
        <v>2024</v>
      </c>
      <c r="E200" t="s">
        <v>98</v>
      </c>
      <c r="F200" s="9" t="s">
        <v>9</v>
      </c>
      <c r="G200" s="30" t="s">
        <v>297</v>
      </c>
      <c r="H200" s="38">
        <f t="shared" si="7"/>
        <v>32.94</v>
      </c>
      <c r="I200" s="38">
        <f t="shared" si="9"/>
        <v>32.94</v>
      </c>
      <c r="K200" t="str">
        <f t="shared" si="8"/>
        <v>ELCNGA</v>
      </c>
    </row>
    <row r="201" spans="3:11" ht="13.2">
      <c r="C201" t="s">
        <v>8</v>
      </c>
      <c r="D201">
        <v>2025</v>
      </c>
      <c r="E201" t="s">
        <v>98</v>
      </c>
      <c r="F201" s="9" t="s">
        <v>9</v>
      </c>
      <c r="G201" s="30" t="s">
        <v>297</v>
      </c>
      <c r="H201" s="38">
        <f t="shared" si="7"/>
        <v>32.94</v>
      </c>
      <c r="I201" s="38">
        <f t="shared" si="9"/>
        <v>32.94</v>
      </c>
      <c r="K201" t="str">
        <f t="shared" si="8"/>
        <v>ELCNGA</v>
      </c>
    </row>
    <row r="202" spans="3:11" ht="13.2">
      <c r="C202" t="s">
        <v>8</v>
      </c>
      <c r="D202">
        <v>2026</v>
      </c>
      <c r="E202" t="s">
        <v>98</v>
      </c>
      <c r="F202" s="9" t="s">
        <v>9</v>
      </c>
      <c r="G202" s="30" t="s">
        <v>297</v>
      </c>
      <c r="H202" s="38">
        <f t="shared" si="7"/>
        <v>32.94</v>
      </c>
      <c r="I202" s="38">
        <f t="shared" si="9"/>
        <v>32.94</v>
      </c>
      <c r="K202" t="str">
        <f t="shared" si="8"/>
        <v>ELCNGA</v>
      </c>
    </row>
    <row r="203" spans="3:11" ht="13.2">
      <c r="C203" t="s">
        <v>8</v>
      </c>
      <c r="D203">
        <v>2027</v>
      </c>
      <c r="E203" t="s">
        <v>98</v>
      </c>
      <c r="F203" s="9" t="s">
        <v>9</v>
      </c>
      <c r="G203" s="30" t="s">
        <v>297</v>
      </c>
      <c r="H203" s="38">
        <f t="shared" si="7"/>
        <v>32.94</v>
      </c>
      <c r="I203" s="38">
        <f t="shared" si="9"/>
        <v>32.94</v>
      </c>
      <c r="K203" t="str">
        <f t="shared" si="8"/>
        <v>ELCNGA</v>
      </c>
    </row>
    <row r="204" spans="3:11" ht="13.2">
      <c r="C204" t="s">
        <v>8</v>
      </c>
      <c r="D204">
        <v>2028</v>
      </c>
      <c r="E204" t="s">
        <v>98</v>
      </c>
      <c r="F204" s="9" t="s">
        <v>9</v>
      </c>
      <c r="G204" s="30" t="s">
        <v>297</v>
      </c>
      <c r="H204" s="38">
        <f t="shared" si="7"/>
        <v>32.94</v>
      </c>
      <c r="I204" s="38">
        <f t="shared" si="9"/>
        <v>32.94</v>
      </c>
      <c r="K204" t="str">
        <f t="shared" si="8"/>
        <v>ELCNGA</v>
      </c>
    </row>
    <row r="205" spans="3:11" ht="13.2">
      <c r="C205" t="s">
        <v>8</v>
      </c>
      <c r="D205">
        <v>2029</v>
      </c>
      <c r="E205" t="s">
        <v>98</v>
      </c>
      <c r="F205" s="9" t="s">
        <v>9</v>
      </c>
      <c r="G205" s="30" t="s">
        <v>297</v>
      </c>
      <c r="H205" s="38">
        <f t="shared" si="7"/>
        <v>32.94</v>
      </c>
      <c r="I205" s="38">
        <f t="shared" si="9"/>
        <v>32.94</v>
      </c>
      <c r="K205" t="str">
        <f t="shared" si="8"/>
        <v>ELCNGA</v>
      </c>
    </row>
    <row r="206" spans="3:11" ht="13.2">
      <c r="C206" t="s">
        <v>8</v>
      </c>
      <c r="D206">
        <v>2030</v>
      </c>
      <c r="E206" t="s">
        <v>98</v>
      </c>
      <c r="F206" s="9" t="s">
        <v>9</v>
      </c>
      <c r="G206" s="30" t="s">
        <v>297</v>
      </c>
      <c r="H206" s="38">
        <f t="shared" si="7"/>
        <v>32.94</v>
      </c>
      <c r="I206" s="38">
        <f t="shared" si="9"/>
        <v>32.94</v>
      </c>
      <c r="K206" t="str">
        <f t="shared" si="8"/>
        <v>ELCNGA</v>
      </c>
    </row>
    <row r="207" spans="3:11" ht="13.2">
      <c r="C207" t="s">
        <v>8</v>
      </c>
      <c r="D207">
        <v>2031</v>
      </c>
      <c r="E207" t="s">
        <v>98</v>
      </c>
      <c r="F207" s="9" t="s">
        <v>9</v>
      </c>
      <c r="G207" s="30" t="s">
        <v>297</v>
      </c>
      <c r="H207" s="38">
        <f t="shared" si="7"/>
        <v>32.94</v>
      </c>
      <c r="I207" s="38">
        <f t="shared" si="9"/>
        <v>32.94</v>
      </c>
      <c r="K207" t="str">
        <f t="shared" si="8"/>
        <v>ELCNGA</v>
      </c>
    </row>
    <row r="208" spans="3:11" ht="13.2">
      <c r="C208" t="s">
        <v>8</v>
      </c>
      <c r="D208">
        <v>2032</v>
      </c>
      <c r="E208" t="s">
        <v>98</v>
      </c>
      <c r="F208" s="9" t="s">
        <v>9</v>
      </c>
      <c r="G208" s="30" t="s">
        <v>297</v>
      </c>
      <c r="H208" s="38">
        <f t="shared" si="7"/>
        <v>32.94</v>
      </c>
      <c r="I208" s="38">
        <f t="shared" si="9"/>
        <v>32.94</v>
      </c>
      <c r="K208" t="str">
        <f t="shared" si="8"/>
        <v>ELCNGA</v>
      </c>
    </row>
    <row r="209" spans="3:11" ht="13.2">
      <c r="C209" t="s">
        <v>8</v>
      </c>
      <c r="D209">
        <v>2033</v>
      </c>
      <c r="E209" t="s">
        <v>98</v>
      </c>
      <c r="F209" s="9" t="s">
        <v>9</v>
      </c>
      <c r="G209" s="30" t="s">
        <v>297</v>
      </c>
      <c r="H209" s="38">
        <f t="shared" si="7"/>
        <v>32.94</v>
      </c>
      <c r="I209" s="38">
        <f t="shared" si="9"/>
        <v>32.94</v>
      </c>
      <c r="K209" t="str">
        <f t="shared" si="8"/>
        <v>ELCNGA</v>
      </c>
    </row>
    <row r="210" spans="3:11" ht="13.2">
      <c r="C210" t="s">
        <v>8</v>
      </c>
      <c r="D210">
        <v>2034</v>
      </c>
      <c r="E210" t="s">
        <v>98</v>
      </c>
      <c r="F210" s="9" t="s">
        <v>9</v>
      </c>
      <c r="G210" s="30" t="s">
        <v>297</v>
      </c>
      <c r="H210" s="38">
        <f t="shared" si="7"/>
        <v>32.94</v>
      </c>
      <c r="I210" s="38">
        <f t="shared" si="9"/>
        <v>32.94</v>
      </c>
      <c r="K210" t="str">
        <f t="shared" si="8"/>
        <v>ELCNGA</v>
      </c>
    </row>
    <row r="211" spans="3:11" ht="13.2">
      <c r="C211" t="s">
        <v>8</v>
      </c>
      <c r="D211">
        <v>2035</v>
      </c>
      <c r="E211" t="s">
        <v>98</v>
      </c>
      <c r="F211" s="9" t="s">
        <v>9</v>
      </c>
      <c r="G211" s="30" t="s">
        <v>297</v>
      </c>
      <c r="H211" s="38">
        <f t="shared" si="7"/>
        <v>32.94</v>
      </c>
      <c r="I211" s="38">
        <f t="shared" si="9"/>
        <v>32.94</v>
      </c>
      <c r="K211" t="str">
        <f t="shared" si="8"/>
        <v>ELCNGA</v>
      </c>
    </row>
    <row r="212" spans="3:11" ht="13.2">
      <c r="C212" t="s">
        <v>8</v>
      </c>
      <c r="D212">
        <v>2036</v>
      </c>
      <c r="E212" t="s">
        <v>98</v>
      </c>
      <c r="F212" s="9" t="s">
        <v>9</v>
      </c>
      <c r="G212" s="30" t="s">
        <v>297</v>
      </c>
      <c r="H212" s="38">
        <f t="shared" ref="H212:H275" si="10">HLOOKUP(K212,FuelTax2,D212-2006,FALSE)*$B$10</f>
        <v>32.94</v>
      </c>
      <c r="I212" s="38">
        <f t="shared" si="9"/>
        <v>32.94</v>
      </c>
      <c r="K212" t="str">
        <f t="shared" si="8"/>
        <v>ELCNGA</v>
      </c>
    </row>
    <row r="213" spans="3:11" ht="13.2">
      <c r="C213" t="s">
        <v>8</v>
      </c>
      <c r="D213">
        <v>2037</v>
      </c>
      <c r="E213" t="s">
        <v>98</v>
      </c>
      <c r="F213" s="9" t="s">
        <v>9</v>
      </c>
      <c r="G213" s="30" t="s">
        <v>297</v>
      </c>
      <c r="H213" s="38">
        <f t="shared" si="10"/>
        <v>32.94</v>
      </c>
      <c r="I213" s="38">
        <f t="shared" si="9"/>
        <v>32.94</v>
      </c>
      <c r="K213" t="str">
        <f t="shared" ref="K213:K276" si="11">IF(LEFT(F213,1)="E",F213,"ELC"&amp;F213)</f>
        <v>ELCNGA</v>
      </c>
    </row>
    <row r="214" spans="3:11" ht="13.2">
      <c r="C214" t="s">
        <v>8</v>
      </c>
      <c r="D214">
        <v>2038</v>
      </c>
      <c r="E214" t="s">
        <v>98</v>
      </c>
      <c r="F214" s="9" t="s">
        <v>9</v>
      </c>
      <c r="G214" s="30" t="s">
        <v>297</v>
      </c>
      <c r="H214" s="38">
        <f t="shared" si="10"/>
        <v>32.94</v>
      </c>
      <c r="I214" s="38">
        <f t="shared" si="9"/>
        <v>32.94</v>
      </c>
      <c r="K214" t="str">
        <f t="shared" si="11"/>
        <v>ELCNGA</v>
      </c>
    </row>
    <row r="215" spans="3:11" ht="13.2">
      <c r="C215" t="s">
        <v>8</v>
      </c>
      <c r="D215">
        <v>2039</v>
      </c>
      <c r="E215" t="s">
        <v>98</v>
      </c>
      <c r="F215" s="9" t="s">
        <v>9</v>
      </c>
      <c r="G215" s="30" t="s">
        <v>297</v>
      </c>
      <c r="H215" s="38">
        <f t="shared" si="10"/>
        <v>32.94</v>
      </c>
      <c r="I215" s="38">
        <f t="shared" si="9"/>
        <v>32.94</v>
      </c>
      <c r="K215" t="str">
        <f t="shared" si="11"/>
        <v>ELCNGA</v>
      </c>
    </row>
    <row r="216" spans="3:11" ht="13.2">
      <c r="C216" t="s">
        <v>8</v>
      </c>
      <c r="D216">
        <v>2040</v>
      </c>
      <c r="E216" t="s">
        <v>98</v>
      </c>
      <c r="F216" s="9" t="s">
        <v>9</v>
      </c>
      <c r="G216" s="30" t="s">
        <v>297</v>
      </c>
      <c r="H216" s="38">
        <f t="shared" si="10"/>
        <v>32.94</v>
      </c>
      <c r="I216" s="38">
        <f t="shared" si="9"/>
        <v>32.94</v>
      </c>
      <c r="K216" t="str">
        <f t="shared" si="11"/>
        <v>ELCNGA</v>
      </c>
    </row>
    <row r="217" spans="3:11" ht="13.2">
      <c r="C217" t="s">
        <v>8</v>
      </c>
      <c r="D217">
        <v>2041</v>
      </c>
      <c r="E217" t="s">
        <v>98</v>
      </c>
      <c r="F217" s="9" t="s">
        <v>9</v>
      </c>
      <c r="G217" s="30" t="s">
        <v>297</v>
      </c>
      <c r="H217" s="38">
        <f t="shared" si="10"/>
        <v>32.94</v>
      </c>
      <c r="I217" s="38">
        <f t="shared" si="9"/>
        <v>32.94</v>
      </c>
      <c r="K217" t="str">
        <f t="shared" si="11"/>
        <v>ELCNGA</v>
      </c>
    </row>
    <row r="218" spans="3:11" ht="13.2">
      <c r="C218" t="s">
        <v>8</v>
      </c>
      <c r="D218">
        <v>2042</v>
      </c>
      <c r="E218" t="s">
        <v>98</v>
      </c>
      <c r="F218" s="9" t="s">
        <v>9</v>
      </c>
      <c r="G218" s="30" t="s">
        <v>297</v>
      </c>
      <c r="H218" s="38">
        <f t="shared" si="10"/>
        <v>32.94</v>
      </c>
      <c r="I218" s="38">
        <f t="shared" si="9"/>
        <v>32.94</v>
      </c>
      <c r="K218" t="str">
        <f t="shared" si="11"/>
        <v>ELCNGA</v>
      </c>
    </row>
    <row r="219" spans="3:11" ht="13.2">
      <c r="C219" t="s">
        <v>8</v>
      </c>
      <c r="D219">
        <v>2043</v>
      </c>
      <c r="E219" t="s">
        <v>98</v>
      </c>
      <c r="F219" s="9" t="s">
        <v>9</v>
      </c>
      <c r="G219" s="30" t="s">
        <v>297</v>
      </c>
      <c r="H219" s="38">
        <f t="shared" si="10"/>
        <v>32.94</v>
      </c>
      <c r="I219" s="38">
        <f t="shared" si="9"/>
        <v>32.94</v>
      </c>
      <c r="K219" t="str">
        <f t="shared" si="11"/>
        <v>ELCNGA</v>
      </c>
    </row>
    <row r="220" spans="3:11" ht="13.2">
      <c r="C220" t="s">
        <v>8</v>
      </c>
      <c r="D220">
        <v>2044</v>
      </c>
      <c r="E220" t="s">
        <v>98</v>
      </c>
      <c r="F220" s="9" t="s">
        <v>9</v>
      </c>
      <c r="G220" s="30" t="s">
        <v>297</v>
      </c>
      <c r="H220" s="38">
        <f t="shared" si="10"/>
        <v>32.94</v>
      </c>
      <c r="I220" s="38">
        <f t="shared" si="9"/>
        <v>32.94</v>
      </c>
      <c r="K220" t="str">
        <f t="shared" si="11"/>
        <v>ELCNGA</v>
      </c>
    </row>
    <row r="221" spans="3:11" ht="13.2">
      <c r="C221" t="s">
        <v>8</v>
      </c>
      <c r="D221">
        <v>2045</v>
      </c>
      <c r="E221" t="s">
        <v>98</v>
      </c>
      <c r="F221" s="9" t="s">
        <v>9</v>
      </c>
      <c r="G221" s="30" t="s">
        <v>297</v>
      </c>
      <c r="H221" s="38">
        <f t="shared" si="10"/>
        <v>32.94</v>
      </c>
      <c r="I221" s="38">
        <f t="shared" si="9"/>
        <v>32.94</v>
      </c>
      <c r="K221" t="str">
        <f t="shared" si="11"/>
        <v>ELCNGA</v>
      </c>
    </row>
    <row r="222" spans="3:11" ht="13.2">
      <c r="C222" t="s">
        <v>8</v>
      </c>
      <c r="D222">
        <v>2046</v>
      </c>
      <c r="E222" t="s">
        <v>98</v>
      </c>
      <c r="F222" s="9" t="s">
        <v>9</v>
      </c>
      <c r="G222" s="30" t="s">
        <v>297</v>
      </c>
      <c r="H222" s="38">
        <f t="shared" si="10"/>
        <v>32.94</v>
      </c>
      <c r="I222" s="38">
        <f t="shared" si="9"/>
        <v>32.94</v>
      </c>
      <c r="K222" t="str">
        <f t="shared" si="11"/>
        <v>ELCNGA</v>
      </c>
    </row>
    <row r="223" spans="3:11" ht="13.2">
      <c r="C223" t="s">
        <v>8</v>
      </c>
      <c r="D223">
        <v>2047</v>
      </c>
      <c r="E223" t="s">
        <v>98</v>
      </c>
      <c r="F223" s="9" t="s">
        <v>9</v>
      </c>
      <c r="G223" s="30" t="s">
        <v>297</v>
      </c>
      <c r="H223" s="38">
        <f t="shared" si="10"/>
        <v>32.94</v>
      </c>
      <c r="I223" s="38">
        <f t="shared" si="9"/>
        <v>32.94</v>
      </c>
      <c r="K223" t="str">
        <f t="shared" si="11"/>
        <v>ELCNGA</v>
      </c>
    </row>
    <row r="224" spans="3:11" ht="13.2">
      <c r="C224" t="s">
        <v>8</v>
      </c>
      <c r="D224">
        <v>2048</v>
      </c>
      <c r="E224" t="s">
        <v>98</v>
      </c>
      <c r="F224" s="9" t="s">
        <v>9</v>
      </c>
      <c r="G224" s="30" t="s">
        <v>297</v>
      </c>
      <c r="H224" s="38">
        <f t="shared" si="10"/>
        <v>32.94</v>
      </c>
      <c r="I224" s="38">
        <f t="shared" si="9"/>
        <v>32.94</v>
      </c>
      <c r="K224" t="str">
        <f t="shared" si="11"/>
        <v>ELCNGA</v>
      </c>
    </row>
    <row r="225" spans="2:11" ht="13.2">
      <c r="C225" t="s">
        <v>8</v>
      </c>
      <c r="D225">
        <v>2049</v>
      </c>
      <c r="E225" t="s">
        <v>98</v>
      </c>
      <c r="F225" s="9" t="s">
        <v>9</v>
      </c>
      <c r="G225" s="30" t="s">
        <v>297</v>
      </c>
      <c r="H225" s="38">
        <f t="shared" si="10"/>
        <v>32.94</v>
      </c>
      <c r="I225" s="38">
        <f t="shared" si="9"/>
        <v>32.94</v>
      </c>
      <c r="K225" t="str">
        <f t="shared" si="11"/>
        <v>ELCNGA</v>
      </c>
    </row>
    <row r="226" spans="2:11" ht="13.2">
      <c r="B226" s="7"/>
      <c r="C226" s="7" t="s">
        <v>8</v>
      </c>
      <c r="D226" s="7">
        <v>2050</v>
      </c>
      <c r="E226" s="7" t="s">
        <v>98</v>
      </c>
      <c r="F226" s="7" t="s">
        <v>9</v>
      </c>
      <c r="G226" s="35" t="s">
        <v>297</v>
      </c>
      <c r="H226" s="38">
        <f t="shared" si="10"/>
        <v>32.94</v>
      </c>
      <c r="I226" s="38">
        <f t="shared" si="9"/>
        <v>32.94</v>
      </c>
      <c r="K226" t="str">
        <f t="shared" si="11"/>
        <v>ELCNGA</v>
      </c>
    </row>
    <row r="227" spans="2:11" ht="13.2">
      <c r="C227" t="s">
        <v>8</v>
      </c>
      <c r="D227">
        <v>2010</v>
      </c>
      <c r="E227" t="s">
        <v>99</v>
      </c>
      <c r="F227" s="9" t="s">
        <v>9</v>
      </c>
      <c r="G227" s="30" t="s">
        <v>297</v>
      </c>
      <c r="H227" s="38">
        <f t="shared" si="10"/>
        <v>35.355480573398125</v>
      </c>
      <c r="I227" s="38">
        <f t="shared" si="9"/>
        <v>35.355480573398125</v>
      </c>
      <c r="K227" t="str">
        <f t="shared" si="11"/>
        <v>ELCNGA</v>
      </c>
    </row>
    <row r="228" spans="2:11" ht="13.2">
      <c r="C228" t="s">
        <v>8</v>
      </c>
      <c r="D228">
        <v>2011</v>
      </c>
      <c r="E228" t="s">
        <v>99</v>
      </c>
      <c r="F228" s="9" t="s">
        <v>9</v>
      </c>
      <c r="G228" s="30" t="s">
        <v>297</v>
      </c>
      <c r="H228" s="38">
        <f t="shared" si="10"/>
        <v>35.079558172097755</v>
      </c>
      <c r="I228" s="38">
        <f t="shared" si="9"/>
        <v>35.079558172097755</v>
      </c>
      <c r="K228" t="str">
        <f t="shared" si="11"/>
        <v>ELCNGA</v>
      </c>
    </row>
    <row r="229" spans="2:11" ht="13.2">
      <c r="C229" t="s">
        <v>8</v>
      </c>
      <c r="D229">
        <v>2012</v>
      </c>
      <c r="E229" t="s">
        <v>99</v>
      </c>
      <c r="F229" s="9" t="s">
        <v>9</v>
      </c>
      <c r="G229" s="30" t="s">
        <v>297</v>
      </c>
      <c r="H229" s="38">
        <f t="shared" si="10"/>
        <v>35.090374720427818</v>
      </c>
      <c r="I229" s="38">
        <f t="shared" si="9"/>
        <v>35.090374720427818</v>
      </c>
      <c r="K229" t="str">
        <f t="shared" si="11"/>
        <v>ELCNGA</v>
      </c>
    </row>
    <row r="230" spans="2:11" ht="13.2">
      <c r="C230" t="s">
        <v>8</v>
      </c>
      <c r="D230">
        <v>2013</v>
      </c>
      <c r="E230" t="s">
        <v>99</v>
      </c>
      <c r="F230" s="9" t="s">
        <v>9</v>
      </c>
      <c r="G230" s="30" t="s">
        <v>297</v>
      </c>
      <c r="H230" s="38">
        <f t="shared" si="10"/>
        <v>35.397598889545286</v>
      </c>
      <c r="I230" s="38">
        <f t="shared" si="9"/>
        <v>35.397598889545286</v>
      </c>
      <c r="K230" t="str">
        <f t="shared" si="11"/>
        <v>ELCNGA</v>
      </c>
    </row>
    <row r="231" spans="2:11" ht="13.2">
      <c r="C231" t="s">
        <v>8</v>
      </c>
      <c r="D231">
        <v>2014</v>
      </c>
      <c r="E231" t="s">
        <v>99</v>
      </c>
      <c r="F231" s="9" t="s">
        <v>9</v>
      </c>
      <c r="G231" s="30" t="s">
        <v>297</v>
      </c>
      <c r="H231" s="38">
        <f t="shared" si="10"/>
        <v>35.758594704684313</v>
      </c>
      <c r="I231" s="38">
        <f t="shared" si="9"/>
        <v>35.758594704684313</v>
      </c>
      <c r="K231" t="str">
        <f t="shared" si="11"/>
        <v>ELCNGA</v>
      </c>
    </row>
    <row r="232" spans="2:11" ht="13.2">
      <c r="C232" t="s">
        <v>8</v>
      </c>
      <c r="D232">
        <v>2015</v>
      </c>
      <c r="E232" t="s">
        <v>99</v>
      </c>
      <c r="F232" s="9" t="s">
        <v>9</v>
      </c>
      <c r="G232" s="30" t="s">
        <v>297</v>
      </c>
      <c r="H232" s="38">
        <f t="shared" si="10"/>
        <v>32.94</v>
      </c>
      <c r="I232" s="38">
        <f t="shared" si="9"/>
        <v>32.94</v>
      </c>
      <c r="K232" t="str">
        <f t="shared" si="11"/>
        <v>ELCNGA</v>
      </c>
    </row>
    <row r="233" spans="2:11" ht="13.2">
      <c r="C233" t="s">
        <v>8</v>
      </c>
      <c r="D233">
        <v>2016</v>
      </c>
      <c r="E233" t="s">
        <v>99</v>
      </c>
      <c r="F233" s="9" t="s">
        <v>9</v>
      </c>
      <c r="G233" s="30" t="s">
        <v>297</v>
      </c>
      <c r="H233" s="38">
        <f t="shared" si="10"/>
        <v>32.94</v>
      </c>
      <c r="I233" s="38">
        <f t="shared" si="9"/>
        <v>32.94</v>
      </c>
      <c r="K233" t="str">
        <f t="shared" si="11"/>
        <v>ELCNGA</v>
      </c>
    </row>
    <row r="234" spans="2:11" ht="13.2">
      <c r="C234" t="s">
        <v>8</v>
      </c>
      <c r="D234">
        <v>2017</v>
      </c>
      <c r="E234" t="s">
        <v>99</v>
      </c>
      <c r="F234" s="9" t="s">
        <v>9</v>
      </c>
      <c r="G234" s="30" t="s">
        <v>297</v>
      </c>
      <c r="H234" s="38">
        <f t="shared" si="10"/>
        <v>32.94</v>
      </c>
      <c r="I234" s="38">
        <f t="shared" si="9"/>
        <v>32.94</v>
      </c>
      <c r="K234" t="str">
        <f t="shared" si="11"/>
        <v>ELCNGA</v>
      </c>
    </row>
    <row r="235" spans="2:11" ht="13.2">
      <c r="C235" t="s">
        <v>8</v>
      </c>
      <c r="D235">
        <v>2018</v>
      </c>
      <c r="E235" t="s">
        <v>99</v>
      </c>
      <c r="F235" s="9" t="s">
        <v>9</v>
      </c>
      <c r="G235" s="30" t="s">
        <v>297</v>
      </c>
      <c r="H235" s="38">
        <f t="shared" si="10"/>
        <v>32.94</v>
      </c>
      <c r="I235" s="38">
        <f t="shared" si="9"/>
        <v>32.94</v>
      </c>
      <c r="K235" t="str">
        <f t="shared" si="11"/>
        <v>ELCNGA</v>
      </c>
    </row>
    <row r="236" spans="2:11" ht="13.2">
      <c r="C236" t="s">
        <v>8</v>
      </c>
      <c r="D236">
        <v>2019</v>
      </c>
      <c r="E236" t="s">
        <v>99</v>
      </c>
      <c r="F236" s="9" t="s">
        <v>9</v>
      </c>
      <c r="G236" s="30" t="s">
        <v>297</v>
      </c>
      <c r="H236" s="38">
        <f t="shared" si="10"/>
        <v>32.94</v>
      </c>
      <c r="I236" s="38">
        <f t="shared" si="9"/>
        <v>32.94</v>
      </c>
      <c r="K236" t="str">
        <f t="shared" si="11"/>
        <v>ELCNGA</v>
      </c>
    </row>
    <row r="237" spans="2:11" ht="13.2">
      <c r="C237" t="s">
        <v>8</v>
      </c>
      <c r="D237">
        <v>2020</v>
      </c>
      <c r="E237" t="s">
        <v>99</v>
      </c>
      <c r="F237" s="9" t="s">
        <v>9</v>
      </c>
      <c r="G237" s="30" t="s">
        <v>297</v>
      </c>
      <c r="H237" s="38">
        <f t="shared" si="10"/>
        <v>32.94</v>
      </c>
      <c r="I237" s="38">
        <f t="shared" si="9"/>
        <v>32.94</v>
      </c>
      <c r="K237" t="str">
        <f t="shared" si="11"/>
        <v>ELCNGA</v>
      </c>
    </row>
    <row r="238" spans="2:11" ht="13.2">
      <c r="C238" t="s">
        <v>8</v>
      </c>
      <c r="D238">
        <v>2021</v>
      </c>
      <c r="E238" t="s">
        <v>99</v>
      </c>
      <c r="F238" s="9" t="s">
        <v>9</v>
      </c>
      <c r="G238" s="30" t="s">
        <v>297</v>
      </c>
      <c r="H238" s="38">
        <f t="shared" si="10"/>
        <v>32.94</v>
      </c>
      <c r="I238" s="38">
        <f t="shared" si="9"/>
        <v>32.94</v>
      </c>
      <c r="K238" t="str">
        <f t="shared" si="11"/>
        <v>ELCNGA</v>
      </c>
    </row>
    <row r="239" spans="2:11" ht="13.2">
      <c r="C239" t="s">
        <v>8</v>
      </c>
      <c r="D239">
        <v>2022</v>
      </c>
      <c r="E239" t="s">
        <v>99</v>
      </c>
      <c r="F239" s="9" t="s">
        <v>9</v>
      </c>
      <c r="G239" s="30" t="s">
        <v>297</v>
      </c>
      <c r="H239" s="38">
        <f t="shared" si="10"/>
        <v>32.94</v>
      </c>
      <c r="I239" s="38">
        <f t="shared" si="9"/>
        <v>32.94</v>
      </c>
      <c r="K239" t="str">
        <f t="shared" si="11"/>
        <v>ELCNGA</v>
      </c>
    </row>
    <row r="240" spans="2:11" ht="13.2">
      <c r="C240" t="s">
        <v>8</v>
      </c>
      <c r="D240">
        <v>2023</v>
      </c>
      <c r="E240" t="s">
        <v>99</v>
      </c>
      <c r="F240" s="9" t="s">
        <v>9</v>
      </c>
      <c r="G240" s="30" t="s">
        <v>297</v>
      </c>
      <c r="H240" s="38">
        <f t="shared" si="10"/>
        <v>32.94</v>
      </c>
      <c r="I240" s="38">
        <f t="shared" si="9"/>
        <v>32.94</v>
      </c>
      <c r="K240" t="str">
        <f t="shared" si="11"/>
        <v>ELCNGA</v>
      </c>
    </row>
    <row r="241" spans="3:11" ht="13.2">
      <c r="C241" t="s">
        <v>8</v>
      </c>
      <c r="D241">
        <v>2024</v>
      </c>
      <c r="E241" t="s">
        <v>99</v>
      </c>
      <c r="F241" s="9" t="s">
        <v>9</v>
      </c>
      <c r="G241" s="30" t="s">
        <v>297</v>
      </c>
      <c r="H241" s="38">
        <f t="shared" si="10"/>
        <v>32.94</v>
      </c>
      <c r="I241" s="38">
        <f t="shared" si="9"/>
        <v>32.94</v>
      </c>
      <c r="K241" t="str">
        <f t="shared" si="11"/>
        <v>ELCNGA</v>
      </c>
    </row>
    <row r="242" spans="3:11" ht="13.2">
      <c r="C242" t="s">
        <v>8</v>
      </c>
      <c r="D242">
        <v>2025</v>
      </c>
      <c r="E242" t="s">
        <v>99</v>
      </c>
      <c r="F242" s="9" t="s">
        <v>9</v>
      </c>
      <c r="G242" s="30" t="s">
        <v>297</v>
      </c>
      <c r="H242" s="38">
        <f t="shared" si="10"/>
        <v>32.94</v>
      </c>
      <c r="I242" s="38">
        <f t="shared" si="9"/>
        <v>32.94</v>
      </c>
      <c r="K242" t="str">
        <f t="shared" si="11"/>
        <v>ELCNGA</v>
      </c>
    </row>
    <row r="243" spans="3:11" ht="13.2">
      <c r="C243" t="s">
        <v>8</v>
      </c>
      <c r="D243">
        <v>2026</v>
      </c>
      <c r="E243" t="s">
        <v>99</v>
      </c>
      <c r="F243" s="9" t="s">
        <v>9</v>
      </c>
      <c r="G243" s="30" t="s">
        <v>297</v>
      </c>
      <c r="H243" s="38">
        <f t="shared" si="10"/>
        <v>32.94</v>
      </c>
      <c r="I243" s="38">
        <f t="shared" si="9"/>
        <v>32.94</v>
      </c>
      <c r="K243" t="str">
        <f t="shared" si="11"/>
        <v>ELCNGA</v>
      </c>
    </row>
    <row r="244" spans="3:11" ht="13.2">
      <c r="C244" t="s">
        <v>8</v>
      </c>
      <c r="D244">
        <v>2027</v>
      </c>
      <c r="E244" t="s">
        <v>99</v>
      </c>
      <c r="F244" s="9" t="s">
        <v>9</v>
      </c>
      <c r="G244" s="30" t="s">
        <v>297</v>
      </c>
      <c r="H244" s="38">
        <f t="shared" si="10"/>
        <v>32.94</v>
      </c>
      <c r="I244" s="38">
        <f t="shared" si="9"/>
        <v>32.94</v>
      </c>
      <c r="K244" t="str">
        <f t="shared" si="11"/>
        <v>ELCNGA</v>
      </c>
    </row>
    <row r="245" spans="3:11" ht="13.2">
      <c r="C245" t="s">
        <v>8</v>
      </c>
      <c r="D245">
        <v>2028</v>
      </c>
      <c r="E245" t="s">
        <v>99</v>
      </c>
      <c r="F245" s="9" t="s">
        <v>9</v>
      </c>
      <c r="G245" s="30" t="s">
        <v>297</v>
      </c>
      <c r="H245" s="38">
        <f t="shared" si="10"/>
        <v>32.94</v>
      </c>
      <c r="I245" s="38">
        <f t="shared" si="9"/>
        <v>32.94</v>
      </c>
      <c r="K245" t="str">
        <f t="shared" si="11"/>
        <v>ELCNGA</v>
      </c>
    </row>
    <row r="246" spans="3:11" ht="13.2">
      <c r="C246" t="s">
        <v>8</v>
      </c>
      <c r="D246">
        <v>2029</v>
      </c>
      <c r="E246" t="s">
        <v>99</v>
      </c>
      <c r="F246" s="9" t="s">
        <v>9</v>
      </c>
      <c r="G246" s="30" t="s">
        <v>297</v>
      </c>
      <c r="H246" s="38">
        <f t="shared" si="10"/>
        <v>32.94</v>
      </c>
      <c r="I246" s="38">
        <f t="shared" si="9"/>
        <v>32.94</v>
      </c>
      <c r="K246" t="str">
        <f t="shared" si="11"/>
        <v>ELCNGA</v>
      </c>
    </row>
    <row r="247" spans="3:11" ht="13.2">
      <c r="C247" t="s">
        <v>8</v>
      </c>
      <c r="D247">
        <v>2030</v>
      </c>
      <c r="E247" t="s">
        <v>99</v>
      </c>
      <c r="F247" s="9" t="s">
        <v>9</v>
      </c>
      <c r="G247" s="30" t="s">
        <v>297</v>
      </c>
      <c r="H247" s="38">
        <f t="shared" si="10"/>
        <v>32.94</v>
      </c>
      <c r="I247" s="38">
        <f t="shared" si="9"/>
        <v>32.94</v>
      </c>
      <c r="K247" t="str">
        <f t="shared" si="11"/>
        <v>ELCNGA</v>
      </c>
    </row>
    <row r="248" spans="3:11" ht="13.2">
      <c r="C248" t="s">
        <v>8</v>
      </c>
      <c r="D248">
        <v>2031</v>
      </c>
      <c r="E248" t="s">
        <v>99</v>
      </c>
      <c r="F248" s="9" t="s">
        <v>9</v>
      </c>
      <c r="G248" s="30" t="s">
        <v>297</v>
      </c>
      <c r="H248" s="38">
        <f t="shared" si="10"/>
        <v>32.94</v>
      </c>
      <c r="I248" s="38">
        <f t="shared" si="9"/>
        <v>32.94</v>
      </c>
      <c r="K248" t="str">
        <f t="shared" si="11"/>
        <v>ELCNGA</v>
      </c>
    </row>
    <row r="249" spans="3:11" ht="13.2">
      <c r="C249" t="s">
        <v>8</v>
      </c>
      <c r="D249">
        <v>2032</v>
      </c>
      <c r="E249" t="s">
        <v>99</v>
      </c>
      <c r="F249" s="9" t="s">
        <v>9</v>
      </c>
      <c r="G249" s="30" t="s">
        <v>297</v>
      </c>
      <c r="H249" s="38">
        <f t="shared" si="10"/>
        <v>32.94</v>
      </c>
      <c r="I249" s="38">
        <f t="shared" si="9"/>
        <v>32.94</v>
      </c>
      <c r="K249" t="str">
        <f t="shared" si="11"/>
        <v>ELCNGA</v>
      </c>
    </row>
    <row r="250" spans="3:11" ht="13.2">
      <c r="C250" t="s">
        <v>8</v>
      </c>
      <c r="D250">
        <v>2033</v>
      </c>
      <c r="E250" t="s">
        <v>99</v>
      </c>
      <c r="F250" s="9" t="s">
        <v>9</v>
      </c>
      <c r="G250" s="30" t="s">
        <v>297</v>
      </c>
      <c r="H250" s="38">
        <f t="shared" si="10"/>
        <v>32.94</v>
      </c>
      <c r="I250" s="38">
        <f t="shared" si="9"/>
        <v>32.94</v>
      </c>
      <c r="K250" t="str">
        <f t="shared" si="11"/>
        <v>ELCNGA</v>
      </c>
    </row>
    <row r="251" spans="3:11" ht="13.2">
      <c r="C251" t="s">
        <v>8</v>
      </c>
      <c r="D251">
        <v>2034</v>
      </c>
      <c r="E251" t="s">
        <v>99</v>
      </c>
      <c r="F251" s="9" t="s">
        <v>9</v>
      </c>
      <c r="G251" s="30" t="s">
        <v>297</v>
      </c>
      <c r="H251" s="38">
        <f t="shared" si="10"/>
        <v>32.94</v>
      </c>
      <c r="I251" s="38">
        <f t="shared" si="9"/>
        <v>32.94</v>
      </c>
      <c r="K251" t="str">
        <f t="shared" si="11"/>
        <v>ELCNGA</v>
      </c>
    </row>
    <row r="252" spans="3:11" ht="13.2">
      <c r="C252" t="s">
        <v>8</v>
      </c>
      <c r="D252">
        <v>2035</v>
      </c>
      <c r="E252" t="s">
        <v>99</v>
      </c>
      <c r="F252" s="9" t="s">
        <v>9</v>
      </c>
      <c r="G252" s="30" t="s">
        <v>297</v>
      </c>
      <c r="H252" s="38">
        <f t="shared" si="10"/>
        <v>32.94</v>
      </c>
      <c r="I252" s="38">
        <f t="shared" si="9"/>
        <v>32.94</v>
      </c>
      <c r="K252" t="str">
        <f t="shared" si="11"/>
        <v>ELCNGA</v>
      </c>
    </row>
    <row r="253" spans="3:11" ht="13.2">
      <c r="C253" t="s">
        <v>8</v>
      </c>
      <c r="D253">
        <v>2036</v>
      </c>
      <c r="E253" t="s">
        <v>99</v>
      </c>
      <c r="F253" s="9" t="s">
        <v>9</v>
      </c>
      <c r="G253" s="30" t="s">
        <v>297</v>
      </c>
      <c r="H253" s="38">
        <f t="shared" si="10"/>
        <v>32.94</v>
      </c>
      <c r="I253" s="38">
        <f t="shared" si="9"/>
        <v>32.94</v>
      </c>
      <c r="K253" t="str">
        <f t="shared" si="11"/>
        <v>ELCNGA</v>
      </c>
    </row>
    <row r="254" spans="3:11" ht="13.2">
      <c r="C254" t="s">
        <v>8</v>
      </c>
      <c r="D254">
        <v>2037</v>
      </c>
      <c r="E254" t="s">
        <v>99</v>
      </c>
      <c r="F254" s="9" t="s">
        <v>9</v>
      </c>
      <c r="G254" s="30" t="s">
        <v>297</v>
      </c>
      <c r="H254" s="38">
        <f t="shared" si="10"/>
        <v>32.94</v>
      </c>
      <c r="I254" s="38">
        <f t="shared" si="9"/>
        <v>32.94</v>
      </c>
      <c r="K254" t="str">
        <f t="shared" si="11"/>
        <v>ELCNGA</v>
      </c>
    </row>
    <row r="255" spans="3:11" ht="13.2">
      <c r="C255" t="s">
        <v>8</v>
      </c>
      <c r="D255">
        <v>2038</v>
      </c>
      <c r="E255" t="s">
        <v>99</v>
      </c>
      <c r="F255" s="9" t="s">
        <v>9</v>
      </c>
      <c r="G255" s="30" t="s">
        <v>297</v>
      </c>
      <c r="H255" s="38">
        <f t="shared" si="10"/>
        <v>32.94</v>
      </c>
      <c r="I255" s="38">
        <f t="shared" si="9"/>
        <v>32.94</v>
      </c>
      <c r="K255" t="str">
        <f t="shared" si="11"/>
        <v>ELCNGA</v>
      </c>
    </row>
    <row r="256" spans="3:11" ht="13.2">
      <c r="C256" t="s">
        <v>8</v>
      </c>
      <c r="D256">
        <v>2039</v>
      </c>
      <c r="E256" t="s">
        <v>99</v>
      </c>
      <c r="F256" s="9" t="s">
        <v>9</v>
      </c>
      <c r="G256" s="30" t="s">
        <v>297</v>
      </c>
      <c r="H256" s="38">
        <f t="shared" si="10"/>
        <v>32.94</v>
      </c>
      <c r="I256" s="38">
        <f t="shared" ref="I256:I319" si="12">H256</f>
        <v>32.94</v>
      </c>
      <c r="K256" t="str">
        <f t="shared" si="11"/>
        <v>ELCNGA</v>
      </c>
    </row>
    <row r="257" spans="2:11" ht="13.2">
      <c r="C257" t="s">
        <v>8</v>
      </c>
      <c r="D257">
        <v>2040</v>
      </c>
      <c r="E257" t="s">
        <v>99</v>
      </c>
      <c r="F257" s="9" t="s">
        <v>9</v>
      </c>
      <c r="G257" s="30" t="s">
        <v>297</v>
      </c>
      <c r="H257" s="38">
        <f t="shared" si="10"/>
        <v>32.94</v>
      </c>
      <c r="I257" s="38">
        <f t="shared" si="12"/>
        <v>32.94</v>
      </c>
      <c r="K257" t="str">
        <f t="shared" si="11"/>
        <v>ELCNGA</v>
      </c>
    </row>
    <row r="258" spans="2:11" ht="13.2">
      <c r="C258" t="s">
        <v>8</v>
      </c>
      <c r="D258">
        <v>2041</v>
      </c>
      <c r="E258" t="s">
        <v>99</v>
      </c>
      <c r="F258" s="9" t="s">
        <v>9</v>
      </c>
      <c r="G258" s="30" t="s">
        <v>297</v>
      </c>
      <c r="H258" s="38">
        <f t="shared" si="10"/>
        <v>32.94</v>
      </c>
      <c r="I258" s="38">
        <f t="shared" si="12"/>
        <v>32.94</v>
      </c>
      <c r="K258" t="str">
        <f t="shared" si="11"/>
        <v>ELCNGA</v>
      </c>
    </row>
    <row r="259" spans="2:11" ht="13.2">
      <c r="C259" t="s">
        <v>8</v>
      </c>
      <c r="D259">
        <v>2042</v>
      </c>
      <c r="E259" t="s">
        <v>99</v>
      </c>
      <c r="F259" s="9" t="s">
        <v>9</v>
      </c>
      <c r="G259" s="30" t="s">
        <v>297</v>
      </c>
      <c r="H259" s="38">
        <f t="shared" si="10"/>
        <v>32.94</v>
      </c>
      <c r="I259" s="38">
        <f t="shared" si="12"/>
        <v>32.94</v>
      </c>
      <c r="K259" t="str">
        <f t="shared" si="11"/>
        <v>ELCNGA</v>
      </c>
    </row>
    <row r="260" spans="2:11" ht="13.2">
      <c r="C260" t="s">
        <v>8</v>
      </c>
      <c r="D260">
        <v>2043</v>
      </c>
      <c r="E260" t="s">
        <v>99</v>
      </c>
      <c r="F260" s="9" t="s">
        <v>9</v>
      </c>
      <c r="G260" s="30" t="s">
        <v>297</v>
      </c>
      <c r="H260" s="38">
        <f t="shared" si="10"/>
        <v>32.94</v>
      </c>
      <c r="I260" s="38">
        <f t="shared" si="12"/>
        <v>32.94</v>
      </c>
      <c r="K260" t="str">
        <f t="shared" si="11"/>
        <v>ELCNGA</v>
      </c>
    </row>
    <row r="261" spans="2:11" ht="13.2">
      <c r="C261" t="s">
        <v>8</v>
      </c>
      <c r="D261">
        <v>2044</v>
      </c>
      <c r="E261" t="s">
        <v>99</v>
      </c>
      <c r="F261" s="9" t="s">
        <v>9</v>
      </c>
      <c r="G261" s="30" t="s">
        <v>297</v>
      </c>
      <c r="H261" s="38">
        <f t="shared" si="10"/>
        <v>32.94</v>
      </c>
      <c r="I261" s="38">
        <f t="shared" si="12"/>
        <v>32.94</v>
      </c>
      <c r="K261" t="str">
        <f t="shared" si="11"/>
        <v>ELCNGA</v>
      </c>
    </row>
    <row r="262" spans="2:11" ht="13.2">
      <c r="C262" t="s">
        <v>8</v>
      </c>
      <c r="D262">
        <v>2045</v>
      </c>
      <c r="E262" t="s">
        <v>99</v>
      </c>
      <c r="F262" s="9" t="s">
        <v>9</v>
      </c>
      <c r="G262" s="30" t="s">
        <v>297</v>
      </c>
      <c r="H262" s="38">
        <f t="shared" si="10"/>
        <v>32.94</v>
      </c>
      <c r="I262" s="38">
        <f t="shared" si="12"/>
        <v>32.94</v>
      </c>
      <c r="K262" t="str">
        <f t="shared" si="11"/>
        <v>ELCNGA</v>
      </c>
    </row>
    <row r="263" spans="2:11" ht="13.2">
      <c r="C263" t="s">
        <v>8</v>
      </c>
      <c r="D263">
        <v>2046</v>
      </c>
      <c r="E263" t="s">
        <v>99</v>
      </c>
      <c r="F263" s="9" t="s">
        <v>9</v>
      </c>
      <c r="G263" s="30" t="s">
        <v>297</v>
      </c>
      <c r="H263" s="38">
        <f t="shared" si="10"/>
        <v>32.94</v>
      </c>
      <c r="I263" s="38">
        <f t="shared" si="12"/>
        <v>32.94</v>
      </c>
      <c r="K263" t="str">
        <f t="shared" si="11"/>
        <v>ELCNGA</v>
      </c>
    </row>
    <row r="264" spans="2:11" ht="13.2">
      <c r="C264" t="s">
        <v>8</v>
      </c>
      <c r="D264">
        <v>2047</v>
      </c>
      <c r="E264" t="s">
        <v>99</v>
      </c>
      <c r="F264" s="9" t="s">
        <v>9</v>
      </c>
      <c r="G264" s="30" t="s">
        <v>297</v>
      </c>
      <c r="H264" s="38">
        <f t="shared" si="10"/>
        <v>32.94</v>
      </c>
      <c r="I264" s="38">
        <f t="shared" si="12"/>
        <v>32.94</v>
      </c>
      <c r="K264" t="str">
        <f t="shared" si="11"/>
        <v>ELCNGA</v>
      </c>
    </row>
    <row r="265" spans="2:11" ht="13.2">
      <c r="C265" t="s">
        <v>8</v>
      </c>
      <c r="D265">
        <v>2048</v>
      </c>
      <c r="E265" t="s">
        <v>99</v>
      </c>
      <c r="F265" s="9" t="s">
        <v>9</v>
      </c>
      <c r="G265" s="30" t="s">
        <v>297</v>
      </c>
      <c r="H265" s="38">
        <f t="shared" si="10"/>
        <v>32.94</v>
      </c>
      <c r="I265" s="38">
        <f t="shared" si="12"/>
        <v>32.94</v>
      </c>
      <c r="K265" t="str">
        <f t="shared" si="11"/>
        <v>ELCNGA</v>
      </c>
    </row>
    <row r="266" spans="2:11" ht="13.2">
      <c r="C266" t="s">
        <v>8</v>
      </c>
      <c r="D266">
        <v>2049</v>
      </c>
      <c r="E266" t="s">
        <v>99</v>
      </c>
      <c r="F266" s="9" t="s">
        <v>9</v>
      </c>
      <c r="G266" s="30" t="s">
        <v>297</v>
      </c>
      <c r="H266" s="38">
        <f t="shared" si="10"/>
        <v>32.94</v>
      </c>
      <c r="I266" s="38">
        <f t="shared" si="12"/>
        <v>32.94</v>
      </c>
      <c r="K266" t="str">
        <f t="shared" si="11"/>
        <v>ELCNGA</v>
      </c>
    </row>
    <row r="267" spans="2:11" ht="13.2">
      <c r="B267" s="7"/>
      <c r="C267" s="7" t="s">
        <v>8</v>
      </c>
      <c r="D267" s="7">
        <v>2050</v>
      </c>
      <c r="E267" s="7" t="s">
        <v>99</v>
      </c>
      <c r="F267" s="7" t="s">
        <v>9</v>
      </c>
      <c r="G267" s="35" t="s">
        <v>297</v>
      </c>
      <c r="H267" s="38">
        <f t="shared" si="10"/>
        <v>32.94</v>
      </c>
      <c r="I267" s="38">
        <f t="shared" si="12"/>
        <v>32.94</v>
      </c>
      <c r="K267" t="str">
        <f t="shared" si="11"/>
        <v>ELCNGA</v>
      </c>
    </row>
    <row r="268" spans="2:11" ht="13.2">
      <c r="C268" t="s">
        <v>8</v>
      </c>
      <c r="D268">
        <v>2010</v>
      </c>
      <c r="E268" t="s">
        <v>103</v>
      </c>
      <c r="F268" s="9" t="s">
        <v>9</v>
      </c>
      <c r="G268" s="30" t="s">
        <v>297</v>
      </c>
      <c r="H268" s="38">
        <f t="shared" si="10"/>
        <v>35.355480573398125</v>
      </c>
      <c r="I268" s="38">
        <f t="shared" si="12"/>
        <v>35.355480573398125</v>
      </c>
      <c r="K268" t="str">
        <f t="shared" si="11"/>
        <v>ELCNGA</v>
      </c>
    </row>
    <row r="269" spans="2:11" ht="13.2">
      <c r="C269" t="s">
        <v>8</v>
      </c>
      <c r="D269">
        <v>2011</v>
      </c>
      <c r="E269" t="s">
        <v>103</v>
      </c>
      <c r="F269" s="9" t="s">
        <v>9</v>
      </c>
      <c r="G269" s="30" t="s">
        <v>297</v>
      </c>
      <c r="H269" s="38">
        <f t="shared" si="10"/>
        <v>35.079558172097755</v>
      </c>
      <c r="I269" s="38">
        <f t="shared" si="12"/>
        <v>35.079558172097755</v>
      </c>
      <c r="K269" t="str">
        <f t="shared" si="11"/>
        <v>ELCNGA</v>
      </c>
    </row>
    <row r="270" spans="2:11" ht="13.2">
      <c r="C270" t="s">
        <v>8</v>
      </c>
      <c r="D270">
        <v>2012</v>
      </c>
      <c r="E270" t="s">
        <v>103</v>
      </c>
      <c r="F270" s="9" t="s">
        <v>9</v>
      </c>
      <c r="G270" s="30" t="s">
        <v>297</v>
      </c>
      <c r="H270" s="38">
        <f t="shared" si="10"/>
        <v>35.090374720427818</v>
      </c>
      <c r="I270" s="38">
        <f t="shared" si="12"/>
        <v>35.090374720427818</v>
      </c>
      <c r="K270" t="str">
        <f t="shared" si="11"/>
        <v>ELCNGA</v>
      </c>
    </row>
    <row r="271" spans="2:11" ht="13.2">
      <c r="C271" t="s">
        <v>8</v>
      </c>
      <c r="D271">
        <v>2013</v>
      </c>
      <c r="E271" t="s">
        <v>103</v>
      </c>
      <c r="F271" s="9" t="s">
        <v>9</v>
      </c>
      <c r="G271" s="30" t="s">
        <v>297</v>
      </c>
      <c r="H271" s="38">
        <f t="shared" si="10"/>
        <v>35.397598889545286</v>
      </c>
      <c r="I271" s="38">
        <f t="shared" si="12"/>
        <v>35.397598889545286</v>
      </c>
      <c r="K271" t="str">
        <f t="shared" si="11"/>
        <v>ELCNGA</v>
      </c>
    </row>
    <row r="272" spans="2:11" ht="13.2">
      <c r="C272" t="s">
        <v>8</v>
      </c>
      <c r="D272">
        <v>2014</v>
      </c>
      <c r="E272" t="s">
        <v>103</v>
      </c>
      <c r="F272" s="9" t="s">
        <v>9</v>
      </c>
      <c r="G272" s="30" t="s">
        <v>297</v>
      </c>
      <c r="H272" s="38">
        <f t="shared" si="10"/>
        <v>35.758594704684313</v>
      </c>
      <c r="I272" s="38">
        <f t="shared" si="12"/>
        <v>35.758594704684313</v>
      </c>
      <c r="K272" t="str">
        <f t="shared" si="11"/>
        <v>ELCNGA</v>
      </c>
    </row>
    <row r="273" spans="3:11" ht="13.2">
      <c r="C273" t="s">
        <v>8</v>
      </c>
      <c r="D273">
        <v>2015</v>
      </c>
      <c r="E273" t="s">
        <v>103</v>
      </c>
      <c r="F273" s="9" t="s">
        <v>9</v>
      </c>
      <c r="G273" s="30" t="s">
        <v>297</v>
      </c>
      <c r="H273" s="38">
        <f t="shared" si="10"/>
        <v>32.94</v>
      </c>
      <c r="I273" s="38">
        <f t="shared" si="12"/>
        <v>32.94</v>
      </c>
      <c r="K273" t="str">
        <f t="shared" si="11"/>
        <v>ELCNGA</v>
      </c>
    </row>
    <row r="274" spans="3:11" ht="13.2">
      <c r="C274" t="s">
        <v>8</v>
      </c>
      <c r="D274">
        <v>2016</v>
      </c>
      <c r="E274" t="s">
        <v>103</v>
      </c>
      <c r="F274" s="9" t="s">
        <v>9</v>
      </c>
      <c r="G274" s="30" t="s">
        <v>297</v>
      </c>
      <c r="H274" s="38">
        <f t="shared" si="10"/>
        <v>32.94</v>
      </c>
      <c r="I274" s="38">
        <f t="shared" si="12"/>
        <v>32.94</v>
      </c>
      <c r="K274" t="str">
        <f t="shared" si="11"/>
        <v>ELCNGA</v>
      </c>
    </row>
    <row r="275" spans="3:11" ht="13.2">
      <c r="C275" t="s">
        <v>8</v>
      </c>
      <c r="D275">
        <v>2017</v>
      </c>
      <c r="E275" t="s">
        <v>103</v>
      </c>
      <c r="F275" s="9" t="s">
        <v>9</v>
      </c>
      <c r="G275" s="30" t="s">
        <v>297</v>
      </c>
      <c r="H275" s="38">
        <f t="shared" si="10"/>
        <v>32.94</v>
      </c>
      <c r="I275" s="38">
        <f t="shared" si="12"/>
        <v>32.94</v>
      </c>
      <c r="K275" t="str">
        <f t="shared" si="11"/>
        <v>ELCNGA</v>
      </c>
    </row>
    <row r="276" spans="3:11" ht="13.2">
      <c r="C276" t="s">
        <v>8</v>
      </c>
      <c r="D276">
        <v>2018</v>
      </c>
      <c r="E276" t="s">
        <v>103</v>
      </c>
      <c r="F276" s="9" t="s">
        <v>9</v>
      </c>
      <c r="G276" s="30" t="s">
        <v>297</v>
      </c>
      <c r="H276" s="38">
        <f t="shared" ref="H276:H339" si="13">HLOOKUP(K276,FuelTax2,D276-2006,FALSE)*$B$10</f>
        <v>32.94</v>
      </c>
      <c r="I276" s="38">
        <f t="shared" si="12"/>
        <v>32.94</v>
      </c>
      <c r="K276" t="str">
        <f t="shared" si="11"/>
        <v>ELCNGA</v>
      </c>
    </row>
    <row r="277" spans="3:11" ht="13.2">
      <c r="C277" t="s">
        <v>8</v>
      </c>
      <c r="D277">
        <v>2019</v>
      </c>
      <c r="E277" t="s">
        <v>103</v>
      </c>
      <c r="F277" s="9" t="s">
        <v>9</v>
      </c>
      <c r="G277" s="30" t="s">
        <v>297</v>
      </c>
      <c r="H277" s="38">
        <f t="shared" si="13"/>
        <v>32.94</v>
      </c>
      <c r="I277" s="38">
        <f t="shared" si="12"/>
        <v>32.94</v>
      </c>
      <c r="K277" t="str">
        <f t="shared" ref="K277:K340" si="14">IF(LEFT(F277,1)="E",F277,"ELC"&amp;F277)</f>
        <v>ELCNGA</v>
      </c>
    </row>
    <row r="278" spans="3:11" ht="13.2">
      <c r="C278" t="s">
        <v>8</v>
      </c>
      <c r="D278">
        <v>2020</v>
      </c>
      <c r="E278" t="s">
        <v>103</v>
      </c>
      <c r="F278" s="9" t="s">
        <v>9</v>
      </c>
      <c r="G278" s="30" t="s">
        <v>297</v>
      </c>
      <c r="H278" s="38">
        <f t="shared" si="13"/>
        <v>32.94</v>
      </c>
      <c r="I278" s="38">
        <f t="shared" si="12"/>
        <v>32.94</v>
      </c>
      <c r="K278" t="str">
        <f t="shared" si="14"/>
        <v>ELCNGA</v>
      </c>
    </row>
    <row r="279" spans="3:11" ht="13.2">
      <c r="C279" t="s">
        <v>8</v>
      </c>
      <c r="D279">
        <v>2021</v>
      </c>
      <c r="E279" t="s">
        <v>103</v>
      </c>
      <c r="F279" s="9" t="s">
        <v>9</v>
      </c>
      <c r="G279" s="30" t="s">
        <v>297</v>
      </c>
      <c r="H279" s="38">
        <f t="shared" si="13"/>
        <v>32.94</v>
      </c>
      <c r="I279" s="38">
        <f t="shared" si="12"/>
        <v>32.94</v>
      </c>
      <c r="K279" t="str">
        <f t="shared" si="14"/>
        <v>ELCNGA</v>
      </c>
    </row>
    <row r="280" spans="3:11" ht="13.2">
      <c r="C280" t="s">
        <v>8</v>
      </c>
      <c r="D280">
        <v>2022</v>
      </c>
      <c r="E280" t="s">
        <v>103</v>
      </c>
      <c r="F280" s="9" t="s">
        <v>9</v>
      </c>
      <c r="G280" s="30" t="s">
        <v>297</v>
      </c>
      <c r="H280" s="38">
        <f t="shared" si="13"/>
        <v>32.94</v>
      </c>
      <c r="I280" s="38">
        <f t="shared" si="12"/>
        <v>32.94</v>
      </c>
      <c r="K280" t="str">
        <f t="shared" si="14"/>
        <v>ELCNGA</v>
      </c>
    </row>
    <row r="281" spans="3:11" ht="13.2">
      <c r="C281" t="s">
        <v>8</v>
      </c>
      <c r="D281">
        <v>2023</v>
      </c>
      <c r="E281" t="s">
        <v>103</v>
      </c>
      <c r="F281" s="9" t="s">
        <v>9</v>
      </c>
      <c r="G281" s="30" t="s">
        <v>297</v>
      </c>
      <c r="H281" s="38">
        <f t="shared" si="13"/>
        <v>32.94</v>
      </c>
      <c r="I281" s="38">
        <f t="shared" si="12"/>
        <v>32.94</v>
      </c>
      <c r="K281" t="str">
        <f t="shared" si="14"/>
        <v>ELCNGA</v>
      </c>
    </row>
    <row r="282" spans="3:11" ht="13.2">
      <c r="C282" t="s">
        <v>8</v>
      </c>
      <c r="D282">
        <v>2024</v>
      </c>
      <c r="E282" t="s">
        <v>103</v>
      </c>
      <c r="F282" s="9" t="s">
        <v>9</v>
      </c>
      <c r="G282" s="30" t="s">
        <v>297</v>
      </c>
      <c r="H282" s="38">
        <f t="shared" si="13"/>
        <v>32.94</v>
      </c>
      <c r="I282" s="38">
        <f t="shared" si="12"/>
        <v>32.94</v>
      </c>
      <c r="K282" t="str">
        <f t="shared" si="14"/>
        <v>ELCNGA</v>
      </c>
    </row>
    <row r="283" spans="3:11" ht="13.2">
      <c r="C283" t="s">
        <v>8</v>
      </c>
      <c r="D283">
        <v>2025</v>
      </c>
      <c r="E283" t="s">
        <v>103</v>
      </c>
      <c r="F283" s="9" t="s">
        <v>9</v>
      </c>
      <c r="G283" s="30" t="s">
        <v>297</v>
      </c>
      <c r="H283" s="38">
        <f t="shared" si="13"/>
        <v>32.94</v>
      </c>
      <c r="I283" s="38">
        <f t="shared" si="12"/>
        <v>32.94</v>
      </c>
      <c r="K283" t="str">
        <f t="shared" si="14"/>
        <v>ELCNGA</v>
      </c>
    </row>
    <row r="284" spans="3:11" ht="13.2">
      <c r="C284" t="s">
        <v>8</v>
      </c>
      <c r="D284">
        <v>2026</v>
      </c>
      <c r="E284" t="s">
        <v>103</v>
      </c>
      <c r="F284" s="9" t="s">
        <v>9</v>
      </c>
      <c r="G284" s="30" t="s">
        <v>297</v>
      </c>
      <c r="H284" s="38">
        <f t="shared" si="13"/>
        <v>32.94</v>
      </c>
      <c r="I284" s="38">
        <f t="shared" si="12"/>
        <v>32.94</v>
      </c>
      <c r="K284" t="str">
        <f t="shared" si="14"/>
        <v>ELCNGA</v>
      </c>
    </row>
    <row r="285" spans="3:11" ht="13.2">
      <c r="C285" t="s">
        <v>8</v>
      </c>
      <c r="D285">
        <v>2027</v>
      </c>
      <c r="E285" t="s">
        <v>103</v>
      </c>
      <c r="F285" s="9" t="s">
        <v>9</v>
      </c>
      <c r="G285" s="30" t="s">
        <v>297</v>
      </c>
      <c r="H285" s="38">
        <f t="shared" si="13"/>
        <v>32.94</v>
      </c>
      <c r="I285" s="38">
        <f t="shared" si="12"/>
        <v>32.94</v>
      </c>
      <c r="K285" t="str">
        <f t="shared" si="14"/>
        <v>ELCNGA</v>
      </c>
    </row>
    <row r="286" spans="3:11" ht="13.2">
      <c r="C286" t="s">
        <v>8</v>
      </c>
      <c r="D286">
        <v>2028</v>
      </c>
      <c r="E286" t="s">
        <v>103</v>
      </c>
      <c r="F286" s="9" t="s">
        <v>9</v>
      </c>
      <c r="G286" s="30" t="s">
        <v>297</v>
      </c>
      <c r="H286" s="38">
        <f t="shared" si="13"/>
        <v>32.94</v>
      </c>
      <c r="I286" s="38">
        <f t="shared" si="12"/>
        <v>32.94</v>
      </c>
      <c r="K286" t="str">
        <f t="shared" si="14"/>
        <v>ELCNGA</v>
      </c>
    </row>
    <row r="287" spans="3:11" ht="13.2">
      <c r="C287" t="s">
        <v>8</v>
      </c>
      <c r="D287">
        <v>2029</v>
      </c>
      <c r="E287" t="s">
        <v>103</v>
      </c>
      <c r="F287" s="9" t="s">
        <v>9</v>
      </c>
      <c r="G287" s="30" t="s">
        <v>297</v>
      </c>
      <c r="H287" s="38">
        <f t="shared" si="13"/>
        <v>32.94</v>
      </c>
      <c r="I287" s="38">
        <f t="shared" si="12"/>
        <v>32.94</v>
      </c>
      <c r="K287" t="str">
        <f t="shared" si="14"/>
        <v>ELCNGA</v>
      </c>
    </row>
    <row r="288" spans="3:11" ht="13.2">
      <c r="C288" t="s">
        <v>8</v>
      </c>
      <c r="D288">
        <v>2030</v>
      </c>
      <c r="E288" t="s">
        <v>103</v>
      </c>
      <c r="F288" s="9" t="s">
        <v>9</v>
      </c>
      <c r="G288" s="30" t="s">
        <v>297</v>
      </c>
      <c r="H288" s="38">
        <f t="shared" si="13"/>
        <v>32.94</v>
      </c>
      <c r="I288" s="38">
        <f t="shared" si="12"/>
        <v>32.94</v>
      </c>
      <c r="K288" t="str">
        <f t="shared" si="14"/>
        <v>ELCNGA</v>
      </c>
    </row>
    <row r="289" spans="3:11" ht="13.2">
      <c r="C289" t="s">
        <v>8</v>
      </c>
      <c r="D289">
        <v>2031</v>
      </c>
      <c r="E289" t="s">
        <v>103</v>
      </c>
      <c r="F289" s="9" t="s">
        <v>9</v>
      </c>
      <c r="G289" s="30" t="s">
        <v>297</v>
      </c>
      <c r="H289" s="38">
        <f t="shared" si="13"/>
        <v>32.94</v>
      </c>
      <c r="I289" s="38">
        <f t="shared" si="12"/>
        <v>32.94</v>
      </c>
      <c r="K289" t="str">
        <f t="shared" si="14"/>
        <v>ELCNGA</v>
      </c>
    </row>
    <row r="290" spans="3:11" ht="13.2">
      <c r="C290" t="s">
        <v>8</v>
      </c>
      <c r="D290">
        <v>2032</v>
      </c>
      <c r="E290" t="s">
        <v>103</v>
      </c>
      <c r="F290" s="9" t="s">
        <v>9</v>
      </c>
      <c r="G290" s="30" t="s">
        <v>297</v>
      </c>
      <c r="H290" s="38">
        <f t="shared" si="13"/>
        <v>32.94</v>
      </c>
      <c r="I290" s="38">
        <f t="shared" si="12"/>
        <v>32.94</v>
      </c>
      <c r="K290" t="str">
        <f t="shared" si="14"/>
        <v>ELCNGA</v>
      </c>
    </row>
    <row r="291" spans="3:11" ht="13.2">
      <c r="C291" t="s">
        <v>8</v>
      </c>
      <c r="D291">
        <v>2033</v>
      </c>
      <c r="E291" t="s">
        <v>103</v>
      </c>
      <c r="F291" s="9" t="s">
        <v>9</v>
      </c>
      <c r="G291" s="30" t="s">
        <v>297</v>
      </c>
      <c r="H291" s="38">
        <f t="shared" si="13"/>
        <v>32.94</v>
      </c>
      <c r="I291" s="38">
        <f t="shared" si="12"/>
        <v>32.94</v>
      </c>
      <c r="K291" t="str">
        <f t="shared" si="14"/>
        <v>ELCNGA</v>
      </c>
    </row>
    <row r="292" spans="3:11" ht="13.2">
      <c r="C292" t="s">
        <v>8</v>
      </c>
      <c r="D292">
        <v>2034</v>
      </c>
      <c r="E292" t="s">
        <v>103</v>
      </c>
      <c r="F292" s="9" t="s">
        <v>9</v>
      </c>
      <c r="G292" s="30" t="s">
        <v>297</v>
      </c>
      <c r="H292" s="38">
        <f t="shared" si="13"/>
        <v>32.94</v>
      </c>
      <c r="I292" s="38">
        <f t="shared" si="12"/>
        <v>32.94</v>
      </c>
      <c r="K292" t="str">
        <f t="shared" si="14"/>
        <v>ELCNGA</v>
      </c>
    </row>
    <row r="293" spans="3:11" ht="13.2">
      <c r="C293" t="s">
        <v>8</v>
      </c>
      <c r="D293">
        <v>2035</v>
      </c>
      <c r="E293" t="s">
        <v>103</v>
      </c>
      <c r="F293" s="9" t="s">
        <v>9</v>
      </c>
      <c r="G293" s="30" t="s">
        <v>297</v>
      </c>
      <c r="H293" s="38">
        <f t="shared" si="13"/>
        <v>32.94</v>
      </c>
      <c r="I293" s="38">
        <f t="shared" si="12"/>
        <v>32.94</v>
      </c>
      <c r="K293" t="str">
        <f t="shared" si="14"/>
        <v>ELCNGA</v>
      </c>
    </row>
    <row r="294" spans="3:11" ht="13.2">
      <c r="C294" t="s">
        <v>8</v>
      </c>
      <c r="D294">
        <v>2036</v>
      </c>
      <c r="E294" t="s">
        <v>103</v>
      </c>
      <c r="F294" s="9" t="s">
        <v>9</v>
      </c>
      <c r="G294" s="30" t="s">
        <v>297</v>
      </c>
      <c r="H294" s="38">
        <f t="shared" si="13"/>
        <v>32.94</v>
      </c>
      <c r="I294" s="38">
        <f t="shared" si="12"/>
        <v>32.94</v>
      </c>
      <c r="K294" t="str">
        <f t="shared" si="14"/>
        <v>ELCNGA</v>
      </c>
    </row>
    <row r="295" spans="3:11" ht="13.2">
      <c r="C295" t="s">
        <v>8</v>
      </c>
      <c r="D295">
        <v>2037</v>
      </c>
      <c r="E295" t="s">
        <v>103</v>
      </c>
      <c r="F295" s="9" t="s">
        <v>9</v>
      </c>
      <c r="G295" s="30" t="s">
        <v>297</v>
      </c>
      <c r="H295" s="38">
        <f t="shared" si="13"/>
        <v>32.94</v>
      </c>
      <c r="I295" s="38">
        <f t="shared" si="12"/>
        <v>32.94</v>
      </c>
      <c r="K295" t="str">
        <f t="shared" si="14"/>
        <v>ELCNGA</v>
      </c>
    </row>
    <row r="296" spans="3:11" ht="13.2">
      <c r="C296" t="s">
        <v>8</v>
      </c>
      <c r="D296">
        <v>2038</v>
      </c>
      <c r="E296" t="s">
        <v>103</v>
      </c>
      <c r="F296" s="9" t="s">
        <v>9</v>
      </c>
      <c r="G296" s="30" t="s">
        <v>297</v>
      </c>
      <c r="H296" s="38">
        <f t="shared" si="13"/>
        <v>32.94</v>
      </c>
      <c r="I296" s="38">
        <f t="shared" si="12"/>
        <v>32.94</v>
      </c>
      <c r="K296" t="str">
        <f t="shared" si="14"/>
        <v>ELCNGA</v>
      </c>
    </row>
    <row r="297" spans="3:11" ht="13.2">
      <c r="C297" t="s">
        <v>8</v>
      </c>
      <c r="D297">
        <v>2039</v>
      </c>
      <c r="E297" t="s">
        <v>103</v>
      </c>
      <c r="F297" s="9" t="s">
        <v>9</v>
      </c>
      <c r="G297" s="30" t="s">
        <v>297</v>
      </c>
      <c r="H297" s="38">
        <f t="shared" si="13"/>
        <v>32.94</v>
      </c>
      <c r="I297" s="38">
        <f t="shared" si="12"/>
        <v>32.94</v>
      </c>
      <c r="K297" t="str">
        <f t="shared" si="14"/>
        <v>ELCNGA</v>
      </c>
    </row>
    <row r="298" spans="3:11" ht="13.2">
      <c r="C298" t="s">
        <v>8</v>
      </c>
      <c r="D298">
        <v>2040</v>
      </c>
      <c r="E298" t="s">
        <v>103</v>
      </c>
      <c r="F298" s="9" t="s">
        <v>9</v>
      </c>
      <c r="G298" s="30" t="s">
        <v>297</v>
      </c>
      <c r="H298" s="38">
        <f t="shared" si="13"/>
        <v>32.94</v>
      </c>
      <c r="I298" s="38">
        <f t="shared" si="12"/>
        <v>32.94</v>
      </c>
      <c r="K298" t="str">
        <f t="shared" si="14"/>
        <v>ELCNGA</v>
      </c>
    </row>
    <row r="299" spans="3:11" ht="13.2">
      <c r="C299" t="s">
        <v>8</v>
      </c>
      <c r="D299">
        <v>2041</v>
      </c>
      <c r="E299" t="s">
        <v>103</v>
      </c>
      <c r="F299" s="9" t="s">
        <v>9</v>
      </c>
      <c r="G299" s="30" t="s">
        <v>297</v>
      </c>
      <c r="H299" s="38">
        <f t="shared" si="13"/>
        <v>32.94</v>
      </c>
      <c r="I299" s="38">
        <f t="shared" si="12"/>
        <v>32.94</v>
      </c>
      <c r="K299" t="str">
        <f t="shared" si="14"/>
        <v>ELCNGA</v>
      </c>
    </row>
    <row r="300" spans="3:11" ht="13.2">
      <c r="C300" t="s">
        <v>8</v>
      </c>
      <c r="D300">
        <v>2042</v>
      </c>
      <c r="E300" t="s">
        <v>103</v>
      </c>
      <c r="F300" s="9" t="s">
        <v>9</v>
      </c>
      <c r="G300" s="30" t="s">
        <v>297</v>
      </c>
      <c r="H300" s="38">
        <f t="shared" si="13"/>
        <v>32.94</v>
      </c>
      <c r="I300" s="38">
        <f t="shared" si="12"/>
        <v>32.94</v>
      </c>
      <c r="K300" t="str">
        <f t="shared" si="14"/>
        <v>ELCNGA</v>
      </c>
    </row>
    <row r="301" spans="3:11" ht="13.2">
      <c r="C301" t="s">
        <v>8</v>
      </c>
      <c r="D301">
        <v>2043</v>
      </c>
      <c r="E301" t="s">
        <v>103</v>
      </c>
      <c r="F301" s="9" t="s">
        <v>9</v>
      </c>
      <c r="G301" s="30" t="s">
        <v>297</v>
      </c>
      <c r="H301" s="38">
        <f t="shared" si="13"/>
        <v>32.94</v>
      </c>
      <c r="I301" s="38">
        <f t="shared" si="12"/>
        <v>32.94</v>
      </c>
      <c r="K301" t="str">
        <f t="shared" si="14"/>
        <v>ELCNGA</v>
      </c>
    </row>
    <row r="302" spans="3:11" ht="13.2">
      <c r="C302" t="s">
        <v>8</v>
      </c>
      <c r="D302">
        <v>2044</v>
      </c>
      <c r="E302" t="s">
        <v>103</v>
      </c>
      <c r="F302" s="9" t="s">
        <v>9</v>
      </c>
      <c r="G302" s="30" t="s">
        <v>297</v>
      </c>
      <c r="H302" s="38">
        <f t="shared" si="13"/>
        <v>32.94</v>
      </c>
      <c r="I302" s="38">
        <f t="shared" si="12"/>
        <v>32.94</v>
      </c>
      <c r="K302" t="str">
        <f t="shared" si="14"/>
        <v>ELCNGA</v>
      </c>
    </row>
    <row r="303" spans="3:11" ht="13.2">
      <c r="C303" t="s">
        <v>8</v>
      </c>
      <c r="D303">
        <v>2045</v>
      </c>
      <c r="E303" t="s">
        <v>103</v>
      </c>
      <c r="F303" s="9" t="s">
        <v>9</v>
      </c>
      <c r="G303" s="30" t="s">
        <v>297</v>
      </c>
      <c r="H303" s="38">
        <f t="shared" si="13"/>
        <v>32.94</v>
      </c>
      <c r="I303" s="38">
        <f t="shared" si="12"/>
        <v>32.94</v>
      </c>
      <c r="K303" t="str">
        <f t="shared" si="14"/>
        <v>ELCNGA</v>
      </c>
    </row>
    <row r="304" spans="3:11" ht="13.2">
      <c r="C304" t="s">
        <v>8</v>
      </c>
      <c r="D304">
        <v>2046</v>
      </c>
      <c r="E304" t="s">
        <v>103</v>
      </c>
      <c r="F304" s="9" t="s">
        <v>9</v>
      </c>
      <c r="G304" s="30" t="s">
        <v>297</v>
      </c>
      <c r="H304" s="38">
        <f t="shared" si="13"/>
        <v>32.94</v>
      </c>
      <c r="I304" s="38">
        <f t="shared" si="12"/>
        <v>32.94</v>
      </c>
      <c r="K304" t="str">
        <f t="shared" si="14"/>
        <v>ELCNGA</v>
      </c>
    </row>
    <row r="305" spans="3:11" ht="13.2">
      <c r="C305" t="s">
        <v>8</v>
      </c>
      <c r="D305">
        <v>2047</v>
      </c>
      <c r="E305" t="s">
        <v>103</v>
      </c>
      <c r="F305" s="9" t="s">
        <v>9</v>
      </c>
      <c r="G305" s="30" t="s">
        <v>297</v>
      </c>
      <c r="H305" s="38">
        <f t="shared" si="13"/>
        <v>32.94</v>
      </c>
      <c r="I305" s="38">
        <f t="shared" si="12"/>
        <v>32.94</v>
      </c>
      <c r="K305" t="str">
        <f t="shared" si="14"/>
        <v>ELCNGA</v>
      </c>
    </row>
    <row r="306" spans="3:11" ht="13.2">
      <c r="C306" t="s">
        <v>8</v>
      </c>
      <c r="D306">
        <v>2048</v>
      </c>
      <c r="E306" t="s">
        <v>103</v>
      </c>
      <c r="F306" s="9" t="s">
        <v>9</v>
      </c>
      <c r="G306" s="30" t="s">
        <v>297</v>
      </c>
      <c r="H306" s="38">
        <f t="shared" si="13"/>
        <v>32.94</v>
      </c>
      <c r="I306" s="38">
        <f t="shared" si="12"/>
        <v>32.94</v>
      </c>
      <c r="K306" t="str">
        <f t="shared" si="14"/>
        <v>ELCNGA</v>
      </c>
    </row>
    <row r="307" spans="3:11" ht="13.2">
      <c r="C307" t="s">
        <v>8</v>
      </c>
      <c r="D307">
        <v>2049</v>
      </c>
      <c r="E307" t="s">
        <v>103</v>
      </c>
      <c r="F307" s="9" t="s">
        <v>9</v>
      </c>
      <c r="G307" s="30" t="s">
        <v>297</v>
      </c>
      <c r="H307" s="38">
        <f t="shared" si="13"/>
        <v>32.94</v>
      </c>
      <c r="I307" s="38">
        <f t="shared" si="12"/>
        <v>32.94</v>
      </c>
      <c r="K307" t="str">
        <f t="shared" si="14"/>
        <v>ELCNGA</v>
      </c>
    </row>
    <row r="308" spans="3:11" ht="13.2">
      <c r="C308" s="7" t="s">
        <v>8</v>
      </c>
      <c r="D308" s="7">
        <v>2050</v>
      </c>
      <c r="E308" s="7" t="s">
        <v>103</v>
      </c>
      <c r="F308" s="7" t="s">
        <v>9</v>
      </c>
      <c r="G308" s="35" t="s">
        <v>297</v>
      </c>
      <c r="H308" s="38">
        <f t="shared" si="13"/>
        <v>32.94</v>
      </c>
      <c r="I308" s="38">
        <f t="shared" si="12"/>
        <v>32.94</v>
      </c>
      <c r="K308" t="str">
        <f t="shared" si="14"/>
        <v>ELCNGA</v>
      </c>
    </row>
    <row r="309" spans="3:11" ht="13.2">
      <c r="C309" t="s">
        <v>8</v>
      </c>
      <c r="D309">
        <v>2010</v>
      </c>
      <c r="E309" t="s">
        <v>104</v>
      </c>
      <c r="F309" s="9" t="s">
        <v>9</v>
      </c>
      <c r="G309" s="30" t="s">
        <v>297</v>
      </c>
      <c r="H309" s="38">
        <f t="shared" si="13"/>
        <v>35.355480573398125</v>
      </c>
      <c r="I309" s="38">
        <f t="shared" si="12"/>
        <v>35.355480573398125</v>
      </c>
      <c r="K309" t="str">
        <f t="shared" si="14"/>
        <v>ELCNGA</v>
      </c>
    </row>
    <row r="310" spans="3:11" ht="13.2">
      <c r="C310" t="s">
        <v>8</v>
      </c>
      <c r="D310">
        <v>2011</v>
      </c>
      <c r="E310" t="s">
        <v>104</v>
      </c>
      <c r="F310" s="9" t="s">
        <v>9</v>
      </c>
      <c r="G310" s="30" t="s">
        <v>297</v>
      </c>
      <c r="H310" s="38">
        <f t="shared" si="13"/>
        <v>35.079558172097755</v>
      </c>
      <c r="I310" s="38">
        <f t="shared" si="12"/>
        <v>35.079558172097755</v>
      </c>
      <c r="K310" t="str">
        <f t="shared" si="14"/>
        <v>ELCNGA</v>
      </c>
    </row>
    <row r="311" spans="3:11" ht="13.2">
      <c r="C311" t="s">
        <v>8</v>
      </c>
      <c r="D311">
        <v>2012</v>
      </c>
      <c r="E311" t="s">
        <v>104</v>
      </c>
      <c r="F311" s="9" t="s">
        <v>9</v>
      </c>
      <c r="G311" s="30" t="s">
        <v>297</v>
      </c>
      <c r="H311" s="38">
        <f t="shared" si="13"/>
        <v>35.090374720427818</v>
      </c>
      <c r="I311" s="38">
        <f t="shared" si="12"/>
        <v>35.090374720427818</v>
      </c>
      <c r="K311" t="str">
        <f t="shared" si="14"/>
        <v>ELCNGA</v>
      </c>
    </row>
    <row r="312" spans="3:11" ht="13.2">
      <c r="C312" t="s">
        <v>8</v>
      </c>
      <c r="D312">
        <v>2013</v>
      </c>
      <c r="E312" t="s">
        <v>104</v>
      </c>
      <c r="F312" s="9" t="s">
        <v>9</v>
      </c>
      <c r="G312" s="30" t="s">
        <v>297</v>
      </c>
      <c r="H312" s="38">
        <f t="shared" si="13"/>
        <v>35.397598889545286</v>
      </c>
      <c r="I312" s="38">
        <f t="shared" si="12"/>
        <v>35.397598889545286</v>
      </c>
      <c r="K312" t="str">
        <f t="shared" si="14"/>
        <v>ELCNGA</v>
      </c>
    </row>
    <row r="313" spans="3:11" ht="13.2">
      <c r="C313" t="s">
        <v>8</v>
      </c>
      <c r="D313">
        <v>2014</v>
      </c>
      <c r="E313" t="s">
        <v>104</v>
      </c>
      <c r="F313" s="9" t="s">
        <v>9</v>
      </c>
      <c r="G313" s="30" t="s">
        <v>297</v>
      </c>
      <c r="H313" s="38">
        <f t="shared" si="13"/>
        <v>35.758594704684313</v>
      </c>
      <c r="I313" s="38">
        <f t="shared" si="12"/>
        <v>35.758594704684313</v>
      </c>
      <c r="K313" t="str">
        <f t="shared" si="14"/>
        <v>ELCNGA</v>
      </c>
    </row>
    <row r="314" spans="3:11" ht="13.2">
      <c r="C314" t="s">
        <v>8</v>
      </c>
      <c r="D314">
        <v>2015</v>
      </c>
      <c r="E314" t="s">
        <v>104</v>
      </c>
      <c r="F314" s="9" t="s">
        <v>9</v>
      </c>
      <c r="G314" s="30" t="s">
        <v>297</v>
      </c>
      <c r="H314" s="38">
        <f t="shared" si="13"/>
        <v>32.94</v>
      </c>
      <c r="I314" s="38">
        <f t="shared" si="12"/>
        <v>32.94</v>
      </c>
      <c r="K314" t="str">
        <f t="shared" si="14"/>
        <v>ELCNGA</v>
      </c>
    </row>
    <row r="315" spans="3:11" ht="13.2">
      <c r="C315" t="s">
        <v>8</v>
      </c>
      <c r="D315">
        <v>2016</v>
      </c>
      <c r="E315" t="s">
        <v>104</v>
      </c>
      <c r="F315" s="9" t="s">
        <v>9</v>
      </c>
      <c r="G315" s="30" t="s">
        <v>297</v>
      </c>
      <c r="H315" s="38">
        <f t="shared" si="13"/>
        <v>32.94</v>
      </c>
      <c r="I315" s="38">
        <f t="shared" si="12"/>
        <v>32.94</v>
      </c>
      <c r="K315" t="str">
        <f t="shared" si="14"/>
        <v>ELCNGA</v>
      </c>
    </row>
    <row r="316" spans="3:11" ht="13.2">
      <c r="C316" t="s">
        <v>8</v>
      </c>
      <c r="D316">
        <v>2017</v>
      </c>
      <c r="E316" t="s">
        <v>104</v>
      </c>
      <c r="F316" s="9" t="s">
        <v>9</v>
      </c>
      <c r="G316" s="30" t="s">
        <v>297</v>
      </c>
      <c r="H316" s="38">
        <f t="shared" si="13"/>
        <v>32.94</v>
      </c>
      <c r="I316" s="38">
        <f t="shared" si="12"/>
        <v>32.94</v>
      </c>
      <c r="K316" t="str">
        <f t="shared" si="14"/>
        <v>ELCNGA</v>
      </c>
    </row>
    <row r="317" spans="3:11" ht="13.2">
      <c r="C317" t="s">
        <v>8</v>
      </c>
      <c r="D317">
        <v>2018</v>
      </c>
      <c r="E317" t="s">
        <v>104</v>
      </c>
      <c r="F317" s="9" t="s">
        <v>9</v>
      </c>
      <c r="G317" s="30" t="s">
        <v>297</v>
      </c>
      <c r="H317" s="38">
        <f t="shared" si="13"/>
        <v>32.94</v>
      </c>
      <c r="I317" s="38">
        <f t="shared" si="12"/>
        <v>32.94</v>
      </c>
      <c r="K317" t="str">
        <f t="shared" si="14"/>
        <v>ELCNGA</v>
      </c>
    </row>
    <row r="318" spans="3:11" ht="13.2">
      <c r="C318" t="s">
        <v>8</v>
      </c>
      <c r="D318">
        <v>2019</v>
      </c>
      <c r="E318" t="s">
        <v>104</v>
      </c>
      <c r="F318" s="9" t="s">
        <v>9</v>
      </c>
      <c r="G318" s="30" t="s">
        <v>297</v>
      </c>
      <c r="H318" s="38">
        <f t="shared" si="13"/>
        <v>32.94</v>
      </c>
      <c r="I318" s="38">
        <f t="shared" si="12"/>
        <v>32.94</v>
      </c>
      <c r="K318" t="str">
        <f t="shared" si="14"/>
        <v>ELCNGA</v>
      </c>
    </row>
    <row r="319" spans="3:11" ht="13.2">
      <c r="C319" t="s">
        <v>8</v>
      </c>
      <c r="D319">
        <v>2020</v>
      </c>
      <c r="E319" t="s">
        <v>104</v>
      </c>
      <c r="F319" s="9" t="s">
        <v>9</v>
      </c>
      <c r="G319" s="30" t="s">
        <v>297</v>
      </c>
      <c r="H319" s="38">
        <f t="shared" si="13"/>
        <v>32.94</v>
      </c>
      <c r="I319" s="38">
        <f t="shared" si="12"/>
        <v>32.94</v>
      </c>
      <c r="K319" t="str">
        <f t="shared" si="14"/>
        <v>ELCNGA</v>
      </c>
    </row>
    <row r="320" spans="3:11" ht="13.2">
      <c r="C320" t="s">
        <v>8</v>
      </c>
      <c r="D320">
        <v>2021</v>
      </c>
      <c r="E320" t="s">
        <v>104</v>
      </c>
      <c r="F320" s="9" t="s">
        <v>9</v>
      </c>
      <c r="G320" s="30" t="s">
        <v>297</v>
      </c>
      <c r="H320" s="38">
        <f t="shared" si="13"/>
        <v>32.94</v>
      </c>
      <c r="I320" s="38">
        <f t="shared" ref="I320:I383" si="15">H320</f>
        <v>32.94</v>
      </c>
      <c r="K320" t="str">
        <f t="shared" si="14"/>
        <v>ELCNGA</v>
      </c>
    </row>
    <row r="321" spans="3:11" ht="13.2">
      <c r="C321" t="s">
        <v>8</v>
      </c>
      <c r="D321">
        <v>2022</v>
      </c>
      <c r="E321" t="s">
        <v>104</v>
      </c>
      <c r="F321" s="9" t="s">
        <v>9</v>
      </c>
      <c r="G321" s="30" t="s">
        <v>297</v>
      </c>
      <c r="H321" s="38">
        <f t="shared" si="13"/>
        <v>32.94</v>
      </c>
      <c r="I321" s="38">
        <f t="shared" si="15"/>
        <v>32.94</v>
      </c>
      <c r="K321" t="str">
        <f t="shared" si="14"/>
        <v>ELCNGA</v>
      </c>
    </row>
    <row r="322" spans="3:11" ht="13.2">
      <c r="C322" t="s">
        <v>8</v>
      </c>
      <c r="D322">
        <v>2023</v>
      </c>
      <c r="E322" t="s">
        <v>104</v>
      </c>
      <c r="F322" s="9" t="s">
        <v>9</v>
      </c>
      <c r="G322" s="30" t="s">
        <v>297</v>
      </c>
      <c r="H322" s="38">
        <f t="shared" si="13"/>
        <v>32.94</v>
      </c>
      <c r="I322" s="38">
        <f t="shared" si="15"/>
        <v>32.94</v>
      </c>
      <c r="K322" t="str">
        <f t="shared" si="14"/>
        <v>ELCNGA</v>
      </c>
    </row>
    <row r="323" spans="3:11" ht="13.2">
      <c r="C323" t="s">
        <v>8</v>
      </c>
      <c r="D323">
        <v>2024</v>
      </c>
      <c r="E323" t="s">
        <v>104</v>
      </c>
      <c r="F323" s="9" t="s">
        <v>9</v>
      </c>
      <c r="G323" s="30" t="s">
        <v>297</v>
      </c>
      <c r="H323" s="38">
        <f t="shared" si="13"/>
        <v>32.94</v>
      </c>
      <c r="I323" s="38">
        <f t="shared" si="15"/>
        <v>32.94</v>
      </c>
      <c r="K323" t="str">
        <f t="shared" si="14"/>
        <v>ELCNGA</v>
      </c>
    </row>
    <row r="324" spans="3:11" ht="13.2">
      <c r="C324" t="s">
        <v>8</v>
      </c>
      <c r="D324">
        <v>2025</v>
      </c>
      <c r="E324" t="s">
        <v>104</v>
      </c>
      <c r="F324" s="9" t="s">
        <v>9</v>
      </c>
      <c r="G324" s="30" t="s">
        <v>297</v>
      </c>
      <c r="H324" s="38">
        <f t="shared" si="13"/>
        <v>32.94</v>
      </c>
      <c r="I324" s="38">
        <f t="shared" si="15"/>
        <v>32.94</v>
      </c>
      <c r="K324" t="str">
        <f t="shared" si="14"/>
        <v>ELCNGA</v>
      </c>
    </row>
    <row r="325" spans="3:11" ht="13.2">
      <c r="C325" t="s">
        <v>8</v>
      </c>
      <c r="D325">
        <v>2026</v>
      </c>
      <c r="E325" t="s">
        <v>104</v>
      </c>
      <c r="F325" s="9" t="s">
        <v>9</v>
      </c>
      <c r="G325" s="30" t="s">
        <v>297</v>
      </c>
      <c r="H325" s="38">
        <f t="shared" si="13"/>
        <v>32.94</v>
      </c>
      <c r="I325" s="38">
        <f t="shared" si="15"/>
        <v>32.94</v>
      </c>
      <c r="K325" t="str">
        <f t="shared" si="14"/>
        <v>ELCNGA</v>
      </c>
    </row>
    <row r="326" spans="3:11" ht="13.2">
      <c r="C326" t="s">
        <v>8</v>
      </c>
      <c r="D326">
        <v>2027</v>
      </c>
      <c r="E326" t="s">
        <v>104</v>
      </c>
      <c r="F326" s="9" t="s">
        <v>9</v>
      </c>
      <c r="G326" s="30" t="s">
        <v>297</v>
      </c>
      <c r="H326" s="38">
        <f t="shared" si="13"/>
        <v>32.94</v>
      </c>
      <c r="I326" s="38">
        <f t="shared" si="15"/>
        <v>32.94</v>
      </c>
      <c r="K326" t="str">
        <f t="shared" si="14"/>
        <v>ELCNGA</v>
      </c>
    </row>
    <row r="327" spans="3:11" ht="13.2">
      <c r="C327" t="s">
        <v>8</v>
      </c>
      <c r="D327">
        <v>2028</v>
      </c>
      <c r="E327" t="s">
        <v>104</v>
      </c>
      <c r="F327" s="9" t="s">
        <v>9</v>
      </c>
      <c r="G327" s="30" t="s">
        <v>297</v>
      </c>
      <c r="H327" s="38">
        <f t="shared" si="13"/>
        <v>32.94</v>
      </c>
      <c r="I327" s="38">
        <f t="shared" si="15"/>
        <v>32.94</v>
      </c>
      <c r="K327" t="str">
        <f t="shared" si="14"/>
        <v>ELCNGA</v>
      </c>
    </row>
    <row r="328" spans="3:11" ht="13.2">
      <c r="C328" t="s">
        <v>8</v>
      </c>
      <c r="D328">
        <v>2029</v>
      </c>
      <c r="E328" t="s">
        <v>104</v>
      </c>
      <c r="F328" s="9" t="s">
        <v>9</v>
      </c>
      <c r="G328" s="30" t="s">
        <v>297</v>
      </c>
      <c r="H328" s="38">
        <f t="shared" si="13"/>
        <v>32.94</v>
      </c>
      <c r="I328" s="38">
        <f t="shared" si="15"/>
        <v>32.94</v>
      </c>
      <c r="K328" t="str">
        <f t="shared" si="14"/>
        <v>ELCNGA</v>
      </c>
    </row>
    <row r="329" spans="3:11" ht="13.2">
      <c r="C329" t="s">
        <v>8</v>
      </c>
      <c r="D329">
        <v>2030</v>
      </c>
      <c r="E329" t="s">
        <v>104</v>
      </c>
      <c r="F329" s="9" t="s">
        <v>9</v>
      </c>
      <c r="G329" s="30" t="s">
        <v>297</v>
      </c>
      <c r="H329" s="38">
        <f t="shared" si="13"/>
        <v>32.94</v>
      </c>
      <c r="I329" s="38">
        <f t="shared" si="15"/>
        <v>32.94</v>
      </c>
      <c r="K329" t="str">
        <f t="shared" si="14"/>
        <v>ELCNGA</v>
      </c>
    </row>
    <row r="330" spans="3:11" ht="13.2">
      <c r="C330" t="s">
        <v>8</v>
      </c>
      <c r="D330">
        <v>2031</v>
      </c>
      <c r="E330" t="s">
        <v>104</v>
      </c>
      <c r="F330" s="9" t="s">
        <v>9</v>
      </c>
      <c r="G330" s="30" t="s">
        <v>297</v>
      </c>
      <c r="H330" s="38">
        <f t="shared" si="13"/>
        <v>32.94</v>
      </c>
      <c r="I330" s="38">
        <f t="shared" si="15"/>
        <v>32.94</v>
      </c>
      <c r="K330" t="str">
        <f t="shared" si="14"/>
        <v>ELCNGA</v>
      </c>
    </row>
    <row r="331" spans="3:11" ht="13.2">
      <c r="C331" t="s">
        <v>8</v>
      </c>
      <c r="D331">
        <v>2032</v>
      </c>
      <c r="E331" t="s">
        <v>104</v>
      </c>
      <c r="F331" s="9" t="s">
        <v>9</v>
      </c>
      <c r="G331" s="30" t="s">
        <v>297</v>
      </c>
      <c r="H331" s="38">
        <f t="shared" si="13"/>
        <v>32.94</v>
      </c>
      <c r="I331" s="38">
        <f t="shared" si="15"/>
        <v>32.94</v>
      </c>
      <c r="K331" t="str">
        <f t="shared" si="14"/>
        <v>ELCNGA</v>
      </c>
    </row>
    <row r="332" spans="3:11" ht="13.2">
      <c r="C332" t="s">
        <v>8</v>
      </c>
      <c r="D332">
        <v>2033</v>
      </c>
      <c r="E332" t="s">
        <v>104</v>
      </c>
      <c r="F332" s="9" t="s">
        <v>9</v>
      </c>
      <c r="G332" s="30" t="s">
        <v>297</v>
      </c>
      <c r="H332" s="38">
        <f t="shared" si="13"/>
        <v>32.94</v>
      </c>
      <c r="I332" s="38">
        <f t="shared" si="15"/>
        <v>32.94</v>
      </c>
      <c r="K332" t="str">
        <f t="shared" si="14"/>
        <v>ELCNGA</v>
      </c>
    </row>
    <row r="333" spans="3:11" ht="13.2">
      <c r="C333" t="s">
        <v>8</v>
      </c>
      <c r="D333">
        <v>2034</v>
      </c>
      <c r="E333" t="s">
        <v>104</v>
      </c>
      <c r="F333" s="9" t="s">
        <v>9</v>
      </c>
      <c r="G333" s="30" t="s">
        <v>297</v>
      </c>
      <c r="H333" s="38">
        <f t="shared" si="13"/>
        <v>32.94</v>
      </c>
      <c r="I333" s="38">
        <f t="shared" si="15"/>
        <v>32.94</v>
      </c>
      <c r="K333" t="str">
        <f t="shared" si="14"/>
        <v>ELCNGA</v>
      </c>
    </row>
    <row r="334" spans="3:11" ht="13.2">
      <c r="C334" t="s">
        <v>8</v>
      </c>
      <c r="D334">
        <v>2035</v>
      </c>
      <c r="E334" t="s">
        <v>104</v>
      </c>
      <c r="F334" s="9" t="s">
        <v>9</v>
      </c>
      <c r="G334" s="30" t="s">
        <v>297</v>
      </c>
      <c r="H334" s="38">
        <f t="shared" si="13"/>
        <v>32.94</v>
      </c>
      <c r="I334" s="38">
        <f t="shared" si="15"/>
        <v>32.94</v>
      </c>
      <c r="K334" t="str">
        <f t="shared" si="14"/>
        <v>ELCNGA</v>
      </c>
    </row>
    <row r="335" spans="3:11" ht="13.2">
      <c r="C335" t="s">
        <v>8</v>
      </c>
      <c r="D335">
        <v>2036</v>
      </c>
      <c r="E335" t="s">
        <v>104</v>
      </c>
      <c r="F335" s="9" t="s">
        <v>9</v>
      </c>
      <c r="G335" s="30" t="s">
        <v>297</v>
      </c>
      <c r="H335" s="38">
        <f t="shared" si="13"/>
        <v>32.94</v>
      </c>
      <c r="I335" s="38">
        <f t="shared" si="15"/>
        <v>32.94</v>
      </c>
      <c r="K335" t="str">
        <f t="shared" si="14"/>
        <v>ELCNGA</v>
      </c>
    </row>
    <row r="336" spans="3:11" ht="13.2">
      <c r="C336" t="s">
        <v>8</v>
      </c>
      <c r="D336">
        <v>2037</v>
      </c>
      <c r="E336" t="s">
        <v>104</v>
      </c>
      <c r="F336" s="9" t="s">
        <v>9</v>
      </c>
      <c r="G336" s="30" t="s">
        <v>297</v>
      </c>
      <c r="H336" s="38">
        <f t="shared" si="13"/>
        <v>32.94</v>
      </c>
      <c r="I336" s="38">
        <f t="shared" si="15"/>
        <v>32.94</v>
      </c>
      <c r="K336" t="str">
        <f t="shared" si="14"/>
        <v>ELCNGA</v>
      </c>
    </row>
    <row r="337" spans="3:11" ht="13.2">
      <c r="C337" t="s">
        <v>8</v>
      </c>
      <c r="D337">
        <v>2038</v>
      </c>
      <c r="E337" t="s">
        <v>104</v>
      </c>
      <c r="F337" s="9" t="s">
        <v>9</v>
      </c>
      <c r="G337" s="30" t="s">
        <v>297</v>
      </c>
      <c r="H337" s="38">
        <f t="shared" si="13"/>
        <v>32.94</v>
      </c>
      <c r="I337" s="38">
        <f t="shared" si="15"/>
        <v>32.94</v>
      </c>
      <c r="K337" t="str">
        <f t="shared" si="14"/>
        <v>ELCNGA</v>
      </c>
    </row>
    <row r="338" spans="3:11" ht="13.2">
      <c r="C338" t="s">
        <v>8</v>
      </c>
      <c r="D338">
        <v>2039</v>
      </c>
      <c r="E338" t="s">
        <v>104</v>
      </c>
      <c r="F338" s="9" t="s">
        <v>9</v>
      </c>
      <c r="G338" s="30" t="s">
        <v>297</v>
      </c>
      <c r="H338" s="38">
        <f t="shared" si="13"/>
        <v>32.94</v>
      </c>
      <c r="I338" s="38">
        <f t="shared" si="15"/>
        <v>32.94</v>
      </c>
      <c r="K338" t="str">
        <f t="shared" si="14"/>
        <v>ELCNGA</v>
      </c>
    </row>
    <row r="339" spans="3:11" ht="13.2">
      <c r="C339" t="s">
        <v>8</v>
      </c>
      <c r="D339">
        <v>2040</v>
      </c>
      <c r="E339" t="s">
        <v>104</v>
      </c>
      <c r="F339" s="9" t="s">
        <v>9</v>
      </c>
      <c r="G339" s="30" t="s">
        <v>297</v>
      </c>
      <c r="H339" s="38">
        <f t="shared" si="13"/>
        <v>32.94</v>
      </c>
      <c r="I339" s="38">
        <f t="shared" si="15"/>
        <v>32.94</v>
      </c>
      <c r="K339" t="str">
        <f t="shared" si="14"/>
        <v>ELCNGA</v>
      </c>
    </row>
    <row r="340" spans="3:11" ht="13.2">
      <c r="C340" t="s">
        <v>8</v>
      </c>
      <c r="D340">
        <v>2041</v>
      </c>
      <c r="E340" t="s">
        <v>104</v>
      </c>
      <c r="F340" s="9" t="s">
        <v>9</v>
      </c>
      <c r="G340" s="30" t="s">
        <v>297</v>
      </c>
      <c r="H340" s="38">
        <f t="shared" ref="H340:H403" si="16">HLOOKUP(K340,FuelTax2,D340-2006,FALSE)*$B$10</f>
        <v>32.94</v>
      </c>
      <c r="I340" s="38">
        <f t="shared" si="15"/>
        <v>32.94</v>
      </c>
      <c r="K340" t="str">
        <f t="shared" si="14"/>
        <v>ELCNGA</v>
      </c>
    </row>
    <row r="341" spans="3:11" ht="13.2">
      <c r="C341" t="s">
        <v>8</v>
      </c>
      <c r="D341">
        <v>2042</v>
      </c>
      <c r="E341" t="s">
        <v>104</v>
      </c>
      <c r="F341" s="9" t="s">
        <v>9</v>
      </c>
      <c r="G341" s="30" t="s">
        <v>297</v>
      </c>
      <c r="H341" s="38">
        <f t="shared" si="16"/>
        <v>32.94</v>
      </c>
      <c r="I341" s="38">
        <f t="shared" si="15"/>
        <v>32.94</v>
      </c>
      <c r="K341" t="str">
        <f t="shared" ref="K341:K404" si="17">IF(LEFT(F341,1)="E",F341,"ELC"&amp;F341)</f>
        <v>ELCNGA</v>
      </c>
    </row>
    <row r="342" spans="3:11" ht="13.2">
      <c r="C342" t="s">
        <v>8</v>
      </c>
      <c r="D342">
        <v>2043</v>
      </c>
      <c r="E342" t="s">
        <v>104</v>
      </c>
      <c r="F342" s="9" t="s">
        <v>9</v>
      </c>
      <c r="G342" s="30" t="s">
        <v>297</v>
      </c>
      <c r="H342" s="38">
        <f t="shared" si="16"/>
        <v>32.94</v>
      </c>
      <c r="I342" s="38">
        <f t="shared" si="15"/>
        <v>32.94</v>
      </c>
      <c r="K342" t="str">
        <f t="shared" si="17"/>
        <v>ELCNGA</v>
      </c>
    </row>
    <row r="343" spans="3:11" ht="13.2">
      <c r="C343" t="s">
        <v>8</v>
      </c>
      <c r="D343">
        <v>2044</v>
      </c>
      <c r="E343" t="s">
        <v>104</v>
      </c>
      <c r="F343" s="9" t="s">
        <v>9</v>
      </c>
      <c r="G343" s="30" t="s">
        <v>297</v>
      </c>
      <c r="H343" s="38">
        <f t="shared" si="16"/>
        <v>32.94</v>
      </c>
      <c r="I343" s="38">
        <f t="shared" si="15"/>
        <v>32.94</v>
      </c>
      <c r="K343" t="str">
        <f t="shared" si="17"/>
        <v>ELCNGA</v>
      </c>
    </row>
    <row r="344" spans="3:11" ht="13.2">
      <c r="C344" t="s">
        <v>8</v>
      </c>
      <c r="D344">
        <v>2045</v>
      </c>
      <c r="E344" t="s">
        <v>104</v>
      </c>
      <c r="F344" s="9" t="s">
        <v>9</v>
      </c>
      <c r="G344" s="30" t="s">
        <v>297</v>
      </c>
      <c r="H344" s="38">
        <f t="shared" si="16"/>
        <v>32.94</v>
      </c>
      <c r="I344" s="38">
        <f t="shared" si="15"/>
        <v>32.94</v>
      </c>
      <c r="K344" t="str">
        <f t="shared" si="17"/>
        <v>ELCNGA</v>
      </c>
    </row>
    <row r="345" spans="3:11" ht="13.2">
      <c r="C345" t="s">
        <v>8</v>
      </c>
      <c r="D345">
        <v>2046</v>
      </c>
      <c r="E345" t="s">
        <v>104</v>
      </c>
      <c r="F345" s="9" t="s">
        <v>9</v>
      </c>
      <c r="G345" s="30" t="s">
        <v>297</v>
      </c>
      <c r="H345" s="38">
        <f t="shared" si="16"/>
        <v>32.94</v>
      </c>
      <c r="I345" s="38">
        <f t="shared" si="15"/>
        <v>32.94</v>
      </c>
      <c r="K345" t="str">
        <f t="shared" si="17"/>
        <v>ELCNGA</v>
      </c>
    </row>
    <row r="346" spans="3:11" ht="13.2">
      <c r="C346" t="s">
        <v>8</v>
      </c>
      <c r="D346">
        <v>2047</v>
      </c>
      <c r="E346" t="s">
        <v>104</v>
      </c>
      <c r="F346" s="9" t="s">
        <v>9</v>
      </c>
      <c r="G346" s="30" t="s">
        <v>297</v>
      </c>
      <c r="H346" s="38">
        <f t="shared" si="16"/>
        <v>32.94</v>
      </c>
      <c r="I346" s="38">
        <f t="shared" si="15"/>
        <v>32.94</v>
      </c>
      <c r="K346" t="str">
        <f t="shared" si="17"/>
        <v>ELCNGA</v>
      </c>
    </row>
    <row r="347" spans="3:11" ht="13.2">
      <c r="C347" t="s">
        <v>8</v>
      </c>
      <c r="D347">
        <v>2048</v>
      </c>
      <c r="E347" t="s">
        <v>104</v>
      </c>
      <c r="F347" s="9" t="s">
        <v>9</v>
      </c>
      <c r="G347" s="30" t="s">
        <v>297</v>
      </c>
      <c r="H347" s="38">
        <f t="shared" si="16"/>
        <v>32.94</v>
      </c>
      <c r="I347" s="38">
        <f t="shared" si="15"/>
        <v>32.94</v>
      </c>
      <c r="K347" t="str">
        <f t="shared" si="17"/>
        <v>ELCNGA</v>
      </c>
    </row>
    <row r="348" spans="3:11" ht="13.2">
      <c r="C348" s="9" t="s">
        <v>8</v>
      </c>
      <c r="D348" s="9">
        <v>2049</v>
      </c>
      <c r="E348" s="9" t="s">
        <v>104</v>
      </c>
      <c r="F348" s="9" t="s">
        <v>9</v>
      </c>
      <c r="G348" s="30" t="s">
        <v>297</v>
      </c>
      <c r="H348" s="38">
        <f t="shared" si="16"/>
        <v>32.94</v>
      </c>
      <c r="I348" s="38">
        <f t="shared" si="15"/>
        <v>32.94</v>
      </c>
      <c r="K348" t="str">
        <f t="shared" si="17"/>
        <v>ELCNGA</v>
      </c>
    </row>
    <row r="349" spans="3:11" ht="13.2">
      <c r="C349" s="7" t="s">
        <v>8</v>
      </c>
      <c r="D349" s="7">
        <v>2050</v>
      </c>
      <c r="E349" s="7" t="s">
        <v>104</v>
      </c>
      <c r="F349" s="7" t="s">
        <v>9</v>
      </c>
      <c r="G349" s="35" t="s">
        <v>297</v>
      </c>
      <c r="H349" s="38">
        <f t="shared" si="16"/>
        <v>32.94</v>
      </c>
      <c r="I349" s="38">
        <f t="shared" si="15"/>
        <v>32.94</v>
      </c>
      <c r="K349" t="str">
        <f t="shared" si="17"/>
        <v>ELCNGA</v>
      </c>
    </row>
    <row r="350" spans="3:11" ht="13.2">
      <c r="C350" t="s">
        <v>8</v>
      </c>
      <c r="D350">
        <v>2010</v>
      </c>
      <c r="E350" t="s">
        <v>104</v>
      </c>
      <c r="F350" s="9" t="s">
        <v>9</v>
      </c>
      <c r="G350" s="30" t="s">
        <v>297</v>
      </c>
      <c r="H350" s="38">
        <f t="shared" si="16"/>
        <v>35.355480573398125</v>
      </c>
      <c r="I350" s="38">
        <f t="shared" si="15"/>
        <v>35.355480573398125</v>
      </c>
      <c r="K350" t="str">
        <f t="shared" si="17"/>
        <v>ELCNGA</v>
      </c>
    </row>
    <row r="351" spans="3:11" ht="13.2">
      <c r="C351" t="s">
        <v>8</v>
      </c>
      <c r="D351">
        <v>2011</v>
      </c>
      <c r="E351" t="s">
        <v>104</v>
      </c>
      <c r="F351" s="9" t="s">
        <v>9</v>
      </c>
      <c r="G351" s="30" t="s">
        <v>297</v>
      </c>
      <c r="H351" s="38">
        <f t="shared" si="16"/>
        <v>35.079558172097755</v>
      </c>
      <c r="I351" s="38">
        <f t="shared" si="15"/>
        <v>35.079558172097755</v>
      </c>
      <c r="K351" t="str">
        <f t="shared" si="17"/>
        <v>ELCNGA</v>
      </c>
    </row>
    <row r="352" spans="3:11" ht="13.2">
      <c r="C352" t="s">
        <v>8</v>
      </c>
      <c r="D352">
        <v>2012</v>
      </c>
      <c r="E352" t="s">
        <v>104</v>
      </c>
      <c r="F352" s="9" t="s">
        <v>9</v>
      </c>
      <c r="G352" s="30" t="s">
        <v>297</v>
      </c>
      <c r="H352" s="38">
        <f t="shared" si="16"/>
        <v>35.090374720427818</v>
      </c>
      <c r="I352" s="38">
        <f t="shared" si="15"/>
        <v>35.090374720427818</v>
      </c>
      <c r="K352" t="str">
        <f t="shared" si="17"/>
        <v>ELCNGA</v>
      </c>
    </row>
    <row r="353" spans="3:11" ht="13.2">
      <c r="C353" t="s">
        <v>8</v>
      </c>
      <c r="D353">
        <v>2013</v>
      </c>
      <c r="E353" t="s">
        <v>104</v>
      </c>
      <c r="F353" s="9" t="s">
        <v>9</v>
      </c>
      <c r="G353" s="30" t="s">
        <v>297</v>
      </c>
      <c r="H353" s="38">
        <f t="shared" si="16"/>
        <v>35.397598889545286</v>
      </c>
      <c r="I353" s="38">
        <f t="shared" si="15"/>
        <v>35.397598889545286</v>
      </c>
      <c r="K353" t="str">
        <f t="shared" si="17"/>
        <v>ELCNGA</v>
      </c>
    </row>
    <row r="354" spans="3:11" ht="13.2">
      <c r="C354" t="s">
        <v>8</v>
      </c>
      <c r="D354">
        <v>2014</v>
      </c>
      <c r="E354" t="s">
        <v>104</v>
      </c>
      <c r="F354" s="9" t="s">
        <v>9</v>
      </c>
      <c r="G354" s="30" t="s">
        <v>297</v>
      </c>
      <c r="H354" s="38">
        <f t="shared" si="16"/>
        <v>35.758594704684313</v>
      </c>
      <c r="I354" s="38">
        <f t="shared" si="15"/>
        <v>35.758594704684313</v>
      </c>
      <c r="K354" t="str">
        <f t="shared" si="17"/>
        <v>ELCNGA</v>
      </c>
    </row>
    <row r="355" spans="3:11" ht="13.2">
      <c r="C355" t="s">
        <v>8</v>
      </c>
      <c r="D355">
        <v>2015</v>
      </c>
      <c r="E355" t="s">
        <v>104</v>
      </c>
      <c r="F355" s="9" t="s">
        <v>9</v>
      </c>
      <c r="G355" s="30" t="s">
        <v>297</v>
      </c>
      <c r="H355" s="38">
        <f t="shared" si="16"/>
        <v>32.94</v>
      </c>
      <c r="I355" s="38">
        <f t="shared" si="15"/>
        <v>32.94</v>
      </c>
      <c r="K355" t="str">
        <f t="shared" si="17"/>
        <v>ELCNGA</v>
      </c>
    </row>
    <row r="356" spans="3:11" ht="13.2">
      <c r="C356" t="s">
        <v>8</v>
      </c>
      <c r="D356">
        <v>2016</v>
      </c>
      <c r="E356" t="s">
        <v>104</v>
      </c>
      <c r="F356" s="9" t="s">
        <v>9</v>
      </c>
      <c r="G356" s="30" t="s">
        <v>297</v>
      </c>
      <c r="H356" s="38">
        <f t="shared" si="16"/>
        <v>32.94</v>
      </c>
      <c r="I356" s="38">
        <f t="shared" si="15"/>
        <v>32.94</v>
      </c>
      <c r="K356" t="str">
        <f t="shared" si="17"/>
        <v>ELCNGA</v>
      </c>
    </row>
    <row r="357" spans="3:11" ht="13.2">
      <c r="C357" t="s">
        <v>8</v>
      </c>
      <c r="D357">
        <v>2017</v>
      </c>
      <c r="E357" t="s">
        <v>104</v>
      </c>
      <c r="F357" s="9" t="s">
        <v>9</v>
      </c>
      <c r="G357" s="30" t="s">
        <v>297</v>
      </c>
      <c r="H357" s="38">
        <f t="shared" si="16"/>
        <v>32.94</v>
      </c>
      <c r="I357" s="38">
        <f t="shared" si="15"/>
        <v>32.94</v>
      </c>
      <c r="K357" t="str">
        <f t="shared" si="17"/>
        <v>ELCNGA</v>
      </c>
    </row>
    <row r="358" spans="3:11" ht="13.2">
      <c r="C358" t="s">
        <v>8</v>
      </c>
      <c r="D358">
        <v>2018</v>
      </c>
      <c r="E358" t="s">
        <v>104</v>
      </c>
      <c r="F358" s="9" t="s">
        <v>9</v>
      </c>
      <c r="G358" s="30" t="s">
        <v>297</v>
      </c>
      <c r="H358" s="38">
        <f t="shared" si="16"/>
        <v>32.94</v>
      </c>
      <c r="I358" s="38">
        <f t="shared" si="15"/>
        <v>32.94</v>
      </c>
      <c r="K358" t="str">
        <f t="shared" si="17"/>
        <v>ELCNGA</v>
      </c>
    </row>
    <row r="359" spans="3:11" ht="13.2">
      <c r="C359" t="s">
        <v>8</v>
      </c>
      <c r="D359">
        <v>2019</v>
      </c>
      <c r="E359" t="s">
        <v>104</v>
      </c>
      <c r="F359" s="9" t="s">
        <v>9</v>
      </c>
      <c r="G359" s="30" t="s">
        <v>297</v>
      </c>
      <c r="H359" s="38">
        <f t="shared" si="16"/>
        <v>32.94</v>
      </c>
      <c r="I359" s="38">
        <f t="shared" si="15"/>
        <v>32.94</v>
      </c>
      <c r="K359" t="str">
        <f t="shared" si="17"/>
        <v>ELCNGA</v>
      </c>
    </row>
    <row r="360" spans="3:11" ht="13.2">
      <c r="C360" t="s">
        <v>8</v>
      </c>
      <c r="D360">
        <v>2020</v>
      </c>
      <c r="E360" t="s">
        <v>104</v>
      </c>
      <c r="F360" s="9" t="s">
        <v>9</v>
      </c>
      <c r="G360" s="30" t="s">
        <v>297</v>
      </c>
      <c r="H360" s="38">
        <f t="shared" si="16"/>
        <v>32.94</v>
      </c>
      <c r="I360" s="38">
        <f t="shared" si="15"/>
        <v>32.94</v>
      </c>
      <c r="K360" t="str">
        <f t="shared" si="17"/>
        <v>ELCNGA</v>
      </c>
    </row>
    <row r="361" spans="3:11" ht="13.2">
      <c r="C361" t="s">
        <v>8</v>
      </c>
      <c r="D361">
        <v>2021</v>
      </c>
      <c r="E361" t="s">
        <v>104</v>
      </c>
      <c r="F361" s="9" t="s">
        <v>9</v>
      </c>
      <c r="G361" s="30" t="s">
        <v>297</v>
      </c>
      <c r="H361" s="38">
        <f t="shared" si="16"/>
        <v>32.94</v>
      </c>
      <c r="I361" s="38">
        <f t="shared" si="15"/>
        <v>32.94</v>
      </c>
      <c r="K361" t="str">
        <f t="shared" si="17"/>
        <v>ELCNGA</v>
      </c>
    </row>
    <row r="362" spans="3:11" ht="13.2">
      <c r="C362" t="s">
        <v>8</v>
      </c>
      <c r="D362">
        <v>2022</v>
      </c>
      <c r="E362" t="s">
        <v>104</v>
      </c>
      <c r="F362" s="9" t="s">
        <v>9</v>
      </c>
      <c r="G362" s="30" t="s">
        <v>297</v>
      </c>
      <c r="H362" s="38">
        <f t="shared" si="16"/>
        <v>32.94</v>
      </c>
      <c r="I362" s="38">
        <f t="shared" si="15"/>
        <v>32.94</v>
      </c>
      <c r="K362" t="str">
        <f t="shared" si="17"/>
        <v>ELCNGA</v>
      </c>
    </row>
    <row r="363" spans="3:11" ht="13.2">
      <c r="C363" t="s">
        <v>8</v>
      </c>
      <c r="D363">
        <v>2023</v>
      </c>
      <c r="E363" t="s">
        <v>104</v>
      </c>
      <c r="F363" s="9" t="s">
        <v>9</v>
      </c>
      <c r="G363" s="30" t="s">
        <v>297</v>
      </c>
      <c r="H363" s="38">
        <f t="shared" si="16"/>
        <v>32.94</v>
      </c>
      <c r="I363" s="38">
        <f t="shared" si="15"/>
        <v>32.94</v>
      </c>
      <c r="K363" t="str">
        <f t="shared" si="17"/>
        <v>ELCNGA</v>
      </c>
    </row>
    <row r="364" spans="3:11" ht="13.2">
      <c r="C364" t="s">
        <v>8</v>
      </c>
      <c r="D364">
        <v>2024</v>
      </c>
      <c r="E364" t="s">
        <v>104</v>
      </c>
      <c r="F364" s="9" t="s">
        <v>9</v>
      </c>
      <c r="G364" s="30" t="s">
        <v>297</v>
      </c>
      <c r="H364" s="38">
        <f t="shared" si="16"/>
        <v>32.94</v>
      </c>
      <c r="I364" s="38">
        <f t="shared" si="15"/>
        <v>32.94</v>
      </c>
      <c r="K364" t="str">
        <f t="shared" si="17"/>
        <v>ELCNGA</v>
      </c>
    </row>
    <row r="365" spans="3:11" ht="13.2">
      <c r="C365" t="s">
        <v>8</v>
      </c>
      <c r="D365">
        <v>2025</v>
      </c>
      <c r="E365" t="s">
        <v>104</v>
      </c>
      <c r="F365" s="9" t="s">
        <v>9</v>
      </c>
      <c r="G365" s="30" t="s">
        <v>297</v>
      </c>
      <c r="H365" s="38">
        <f t="shared" si="16"/>
        <v>32.94</v>
      </c>
      <c r="I365" s="38">
        <f t="shared" si="15"/>
        <v>32.94</v>
      </c>
      <c r="K365" t="str">
        <f t="shared" si="17"/>
        <v>ELCNGA</v>
      </c>
    </row>
    <row r="366" spans="3:11" ht="13.2">
      <c r="C366" t="s">
        <v>8</v>
      </c>
      <c r="D366">
        <v>2026</v>
      </c>
      <c r="E366" t="s">
        <v>104</v>
      </c>
      <c r="F366" s="9" t="s">
        <v>9</v>
      </c>
      <c r="G366" s="30" t="s">
        <v>297</v>
      </c>
      <c r="H366" s="38">
        <f t="shared" si="16"/>
        <v>32.94</v>
      </c>
      <c r="I366" s="38">
        <f t="shared" si="15"/>
        <v>32.94</v>
      </c>
      <c r="K366" t="str">
        <f t="shared" si="17"/>
        <v>ELCNGA</v>
      </c>
    </row>
    <row r="367" spans="3:11" ht="13.2">
      <c r="C367" t="s">
        <v>8</v>
      </c>
      <c r="D367">
        <v>2027</v>
      </c>
      <c r="E367" t="s">
        <v>104</v>
      </c>
      <c r="F367" s="9" t="s">
        <v>9</v>
      </c>
      <c r="G367" s="30" t="s">
        <v>297</v>
      </c>
      <c r="H367" s="38">
        <f t="shared" si="16"/>
        <v>32.94</v>
      </c>
      <c r="I367" s="38">
        <f t="shared" si="15"/>
        <v>32.94</v>
      </c>
      <c r="K367" t="str">
        <f t="shared" si="17"/>
        <v>ELCNGA</v>
      </c>
    </row>
    <row r="368" spans="3:11" ht="13.2">
      <c r="C368" t="s">
        <v>8</v>
      </c>
      <c r="D368">
        <v>2028</v>
      </c>
      <c r="E368" t="s">
        <v>104</v>
      </c>
      <c r="F368" s="9" t="s">
        <v>9</v>
      </c>
      <c r="G368" s="30" t="s">
        <v>297</v>
      </c>
      <c r="H368" s="38">
        <f t="shared" si="16"/>
        <v>32.94</v>
      </c>
      <c r="I368" s="38">
        <f t="shared" si="15"/>
        <v>32.94</v>
      </c>
      <c r="K368" t="str">
        <f t="shared" si="17"/>
        <v>ELCNGA</v>
      </c>
    </row>
    <row r="369" spans="3:11" ht="13.2">
      <c r="C369" t="s">
        <v>8</v>
      </c>
      <c r="D369">
        <v>2029</v>
      </c>
      <c r="E369" t="s">
        <v>104</v>
      </c>
      <c r="F369" s="9" t="s">
        <v>9</v>
      </c>
      <c r="G369" s="30" t="s">
        <v>297</v>
      </c>
      <c r="H369" s="38">
        <f t="shared" si="16"/>
        <v>32.94</v>
      </c>
      <c r="I369" s="38">
        <f t="shared" si="15"/>
        <v>32.94</v>
      </c>
      <c r="K369" t="str">
        <f t="shared" si="17"/>
        <v>ELCNGA</v>
      </c>
    </row>
    <row r="370" spans="3:11" ht="13.2">
      <c r="C370" t="s">
        <v>8</v>
      </c>
      <c r="D370">
        <v>2030</v>
      </c>
      <c r="E370" t="s">
        <v>104</v>
      </c>
      <c r="F370" s="9" t="s">
        <v>9</v>
      </c>
      <c r="G370" s="30" t="s">
        <v>297</v>
      </c>
      <c r="H370" s="38">
        <f t="shared" si="16"/>
        <v>32.94</v>
      </c>
      <c r="I370" s="38">
        <f t="shared" si="15"/>
        <v>32.94</v>
      </c>
      <c r="K370" t="str">
        <f t="shared" si="17"/>
        <v>ELCNGA</v>
      </c>
    </row>
    <row r="371" spans="3:11" ht="13.2">
      <c r="C371" t="s">
        <v>8</v>
      </c>
      <c r="D371">
        <v>2031</v>
      </c>
      <c r="E371" t="s">
        <v>104</v>
      </c>
      <c r="F371" s="9" t="s">
        <v>9</v>
      </c>
      <c r="G371" s="30" t="s">
        <v>297</v>
      </c>
      <c r="H371" s="38">
        <f t="shared" si="16"/>
        <v>32.94</v>
      </c>
      <c r="I371" s="38">
        <f t="shared" si="15"/>
        <v>32.94</v>
      </c>
      <c r="K371" t="str">
        <f t="shared" si="17"/>
        <v>ELCNGA</v>
      </c>
    </row>
    <row r="372" spans="3:11" ht="13.2">
      <c r="C372" t="s">
        <v>8</v>
      </c>
      <c r="D372">
        <v>2032</v>
      </c>
      <c r="E372" t="s">
        <v>104</v>
      </c>
      <c r="F372" s="9" t="s">
        <v>9</v>
      </c>
      <c r="G372" s="30" t="s">
        <v>297</v>
      </c>
      <c r="H372" s="38">
        <f t="shared" si="16"/>
        <v>32.94</v>
      </c>
      <c r="I372" s="38">
        <f t="shared" si="15"/>
        <v>32.94</v>
      </c>
      <c r="K372" t="str">
        <f t="shared" si="17"/>
        <v>ELCNGA</v>
      </c>
    </row>
    <row r="373" spans="3:11" ht="13.2">
      <c r="C373" t="s">
        <v>8</v>
      </c>
      <c r="D373">
        <v>2033</v>
      </c>
      <c r="E373" t="s">
        <v>104</v>
      </c>
      <c r="F373" s="9" t="s">
        <v>9</v>
      </c>
      <c r="G373" s="30" t="s">
        <v>297</v>
      </c>
      <c r="H373" s="38">
        <f t="shared" si="16"/>
        <v>32.94</v>
      </c>
      <c r="I373" s="38">
        <f t="shared" si="15"/>
        <v>32.94</v>
      </c>
      <c r="K373" t="str">
        <f t="shared" si="17"/>
        <v>ELCNGA</v>
      </c>
    </row>
    <row r="374" spans="3:11" ht="13.2">
      <c r="C374" t="s">
        <v>8</v>
      </c>
      <c r="D374">
        <v>2034</v>
      </c>
      <c r="E374" t="s">
        <v>104</v>
      </c>
      <c r="F374" s="9" t="s">
        <v>9</v>
      </c>
      <c r="G374" s="30" t="s">
        <v>297</v>
      </c>
      <c r="H374" s="38">
        <f t="shared" si="16"/>
        <v>32.94</v>
      </c>
      <c r="I374" s="38">
        <f t="shared" si="15"/>
        <v>32.94</v>
      </c>
      <c r="K374" t="str">
        <f t="shared" si="17"/>
        <v>ELCNGA</v>
      </c>
    </row>
    <row r="375" spans="3:11" ht="13.2">
      <c r="C375" t="s">
        <v>8</v>
      </c>
      <c r="D375">
        <v>2035</v>
      </c>
      <c r="E375" t="s">
        <v>104</v>
      </c>
      <c r="F375" s="9" t="s">
        <v>9</v>
      </c>
      <c r="G375" s="30" t="s">
        <v>297</v>
      </c>
      <c r="H375" s="38">
        <f t="shared" si="16"/>
        <v>32.94</v>
      </c>
      <c r="I375" s="38">
        <f t="shared" si="15"/>
        <v>32.94</v>
      </c>
      <c r="K375" t="str">
        <f t="shared" si="17"/>
        <v>ELCNGA</v>
      </c>
    </row>
    <row r="376" spans="3:11" ht="13.2">
      <c r="C376" t="s">
        <v>8</v>
      </c>
      <c r="D376">
        <v>2036</v>
      </c>
      <c r="E376" t="s">
        <v>104</v>
      </c>
      <c r="F376" s="9" t="s">
        <v>9</v>
      </c>
      <c r="G376" s="30" t="s">
        <v>297</v>
      </c>
      <c r="H376" s="38">
        <f t="shared" si="16"/>
        <v>32.94</v>
      </c>
      <c r="I376" s="38">
        <f t="shared" si="15"/>
        <v>32.94</v>
      </c>
      <c r="K376" t="str">
        <f t="shared" si="17"/>
        <v>ELCNGA</v>
      </c>
    </row>
    <row r="377" spans="3:11" ht="13.2">
      <c r="C377" t="s">
        <v>8</v>
      </c>
      <c r="D377">
        <v>2037</v>
      </c>
      <c r="E377" t="s">
        <v>104</v>
      </c>
      <c r="F377" s="9" t="s">
        <v>9</v>
      </c>
      <c r="G377" s="30" t="s">
        <v>297</v>
      </c>
      <c r="H377" s="38">
        <f t="shared" si="16"/>
        <v>32.94</v>
      </c>
      <c r="I377" s="38">
        <f t="shared" si="15"/>
        <v>32.94</v>
      </c>
      <c r="K377" t="str">
        <f t="shared" si="17"/>
        <v>ELCNGA</v>
      </c>
    </row>
    <row r="378" spans="3:11" ht="13.2">
      <c r="C378" t="s">
        <v>8</v>
      </c>
      <c r="D378">
        <v>2038</v>
      </c>
      <c r="E378" t="s">
        <v>104</v>
      </c>
      <c r="F378" s="9" t="s">
        <v>9</v>
      </c>
      <c r="G378" s="30" t="s">
        <v>297</v>
      </c>
      <c r="H378" s="38">
        <f t="shared" si="16"/>
        <v>32.94</v>
      </c>
      <c r="I378" s="38">
        <f t="shared" si="15"/>
        <v>32.94</v>
      </c>
      <c r="K378" t="str">
        <f t="shared" si="17"/>
        <v>ELCNGA</v>
      </c>
    </row>
    <row r="379" spans="3:11" ht="13.2">
      <c r="C379" t="s">
        <v>8</v>
      </c>
      <c r="D379">
        <v>2039</v>
      </c>
      <c r="E379" t="s">
        <v>104</v>
      </c>
      <c r="F379" s="9" t="s">
        <v>9</v>
      </c>
      <c r="G379" s="30" t="s">
        <v>297</v>
      </c>
      <c r="H379" s="38">
        <f t="shared" si="16"/>
        <v>32.94</v>
      </c>
      <c r="I379" s="38">
        <f t="shared" si="15"/>
        <v>32.94</v>
      </c>
      <c r="K379" t="str">
        <f t="shared" si="17"/>
        <v>ELCNGA</v>
      </c>
    </row>
    <row r="380" spans="3:11" ht="13.2">
      <c r="C380" t="s">
        <v>8</v>
      </c>
      <c r="D380">
        <v>2040</v>
      </c>
      <c r="E380" t="s">
        <v>104</v>
      </c>
      <c r="F380" s="9" t="s">
        <v>9</v>
      </c>
      <c r="G380" s="30" t="s">
        <v>297</v>
      </c>
      <c r="H380" s="38">
        <f t="shared" si="16"/>
        <v>32.94</v>
      </c>
      <c r="I380" s="38">
        <f t="shared" si="15"/>
        <v>32.94</v>
      </c>
      <c r="K380" t="str">
        <f t="shared" si="17"/>
        <v>ELCNGA</v>
      </c>
    </row>
    <row r="381" spans="3:11" ht="13.2">
      <c r="C381" t="s">
        <v>8</v>
      </c>
      <c r="D381">
        <v>2041</v>
      </c>
      <c r="E381" t="s">
        <v>104</v>
      </c>
      <c r="F381" s="9" t="s">
        <v>9</v>
      </c>
      <c r="G381" s="30" t="s">
        <v>297</v>
      </c>
      <c r="H381" s="38">
        <f t="shared" si="16"/>
        <v>32.94</v>
      </c>
      <c r="I381" s="38">
        <f t="shared" si="15"/>
        <v>32.94</v>
      </c>
      <c r="K381" t="str">
        <f t="shared" si="17"/>
        <v>ELCNGA</v>
      </c>
    </row>
    <row r="382" spans="3:11" ht="13.2">
      <c r="C382" t="s">
        <v>8</v>
      </c>
      <c r="D382">
        <v>2042</v>
      </c>
      <c r="E382" t="s">
        <v>104</v>
      </c>
      <c r="F382" s="9" t="s">
        <v>9</v>
      </c>
      <c r="G382" s="30" t="s">
        <v>297</v>
      </c>
      <c r="H382" s="38">
        <f t="shared" si="16"/>
        <v>32.94</v>
      </c>
      <c r="I382" s="38">
        <f t="shared" si="15"/>
        <v>32.94</v>
      </c>
      <c r="K382" t="str">
        <f t="shared" si="17"/>
        <v>ELCNGA</v>
      </c>
    </row>
    <row r="383" spans="3:11" ht="13.2">
      <c r="C383" t="s">
        <v>8</v>
      </c>
      <c r="D383">
        <v>2043</v>
      </c>
      <c r="E383" t="s">
        <v>104</v>
      </c>
      <c r="F383" s="9" t="s">
        <v>9</v>
      </c>
      <c r="G383" s="30" t="s">
        <v>297</v>
      </c>
      <c r="H383" s="38">
        <f t="shared" si="16"/>
        <v>32.94</v>
      </c>
      <c r="I383" s="38">
        <f t="shared" si="15"/>
        <v>32.94</v>
      </c>
      <c r="K383" t="str">
        <f t="shared" si="17"/>
        <v>ELCNGA</v>
      </c>
    </row>
    <row r="384" spans="3:11" ht="13.2">
      <c r="C384" t="s">
        <v>8</v>
      </c>
      <c r="D384">
        <v>2044</v>
      </c>
      <c r="E384" t="s">
        <v>104</v>
      </c>
      <c r="F384" s="9" t="s">
        <v>9</v>
      </c>
      <c r="G384" s="30" t="s">
        <v>297</v>
      </c>
      <c r="H384" s="38">
        <f t="shared" si="16"/>
        <v>32.94</v>
      </c>
      <c r="I384" s="38">
        <f t="shared" ref="I384:I447" si="18">H384</f>
        <v>32.94</v>
      </c>
      <c r="K384" t="str">
        <f t="shared" si="17"/>
        <v>ELCNGA</v>
      </c>
    </row>
    <row r="385" spans="3:11" ht="13.2">
      <c r="C385" t="s">
        <v>8</v>
      </c>
      <c r="D385">
        <v>2045</v>
      </c>
      <c r="E385" t="s">
        <v>104</v>
      </c>
      <c r="F385" s="9" t="s">
        <v>9</v>
      </c>
      <c r="G385" s="30" t="s">
        <v>297</v>
      </c>
      <c r="H385" s="38">
        <f t="shared" si="16"/>
        <v>32.94</v>
      </c>
      <c r="I385" s="38">
        <f t="shared" si="18"/>
        <v>32.94</v>
      </c>
      <c r="K385" t="str">
        <f t="shared" si="17"/>
        <v>ELCNGA</v>
      </c>
    </row>
    <row r="386" spans="3:11" ht="13.2">
      <c r="C386" t="s">
        <v>8</v>
      </c>
      <c r="D386">
        <v>2046</v>
      </c>
      <c r="E386" t="s">
        <v>104</v>
      </c>
      <c r="F386" s="9" t="s">
        <v>9</v>
      </c>
      <c r="G386" s="30" t="s">
        <v>297</v>
      </c>
      <c r="H386" s="38">
        <f t="shared" si="16"/>
        <v>32.94</v>
      </c>
      <c r="I386" s="38">
        <f t="shared" si="18"/>
        <v>32.94</v>
      </c>
      <c r="K386" t="str">
        <f t="shared" si="17"/>
        <v>ELCNGA</v>
      </c>
    </row>
    <row r="387" spans="3:11" ht="13.2">
      <c r="C387" t="s">
        <v>8</v>
      </c>
      <c r="D387">
        <v>2047</v>
      </c>
      <c r="E387" t="s">
        <v>104</v>
      </c>
      <c r="F387" s="9" t="s">
        <v>9</v>
      </c>
      <c r="G387" s="30" t="s">
        <v>297</v>
      </c>
      <c r="H387" s="38">
        <f t="shared" si="16"/>
        <v>32.94</v>
      </c>
      <c r="I387" s="38">
        <f t="shared" si="18"/>
        <v>32.94</v>
      </c>
      <c r="K387" t="str">
        <f t="shared" si="17"/>
        <v>ELCNGA</v>
      </c>
    </row>
    <row r="388" spans="3:11" ht="13.2">
      <c r="C388" t="s">
        <v>8</v>
      </c>
      <c r="D388">
        <v>2048</v>
      </c>
      <c r="E388" t="s">
        <v>104</v>
      </c>
      <c r="F388" s="9" t="s">
        <v>9</v>
      </c>
      <c r="G388" s="30" t="s">
        <v>297</v>
      </c>
      <c r="H388" s="38">
        <f t="shared" si="16"/>
        <v>32.94</v>
      </c>
      <c r="I388" s="38">
        <f t="shared" si="18"/>
        <v>32.94</v>
      </c>
      <c r="K388" t="str">
        <f t="shared" si="17"/>
        <v>ELCNGA</v>
      </c>
    </row>
    <row r="389" spans="3:11" ht="13.2">
      <c r="C389" t="s">
        <v>8</v>
      </c>
      <c r="D389">
        <v>2049</v>
      </c>
      <c r="E389" t="s">
        <v>104</v>
      </c>
      <c r="F389" s="9" t="s">
        <v>9</v>
      </c>
      <c r="G389" s="30" t="s">
        <v>297</v>
      </c>
      <c r="H389" s="38">
        <f t="shared" si="16"/>
        <v>32.94</v>
      </c>
      <c r="I389" s="38">
        <f t="shared" si="18"/>
        <v>32.94</v>
      </c>
      <c r="K389" t="str">
        <f t="shared" si="17"/>
        <v>ELCNGA</v>
      </c>
    </row>
    <row r="390" spans="3:11" ht="13.2">
      <c r="C390" s="7" t="s">
        <v>8</v>
      </c>
      <c r="D390" s="7">
        <v>2050</v>
      </c>
      <c r="E390" s="7" t="s">
        <v>104</v>
      </c>
      <c r="F390" s="7" t="s">
        <v>9</v>
      </c>
      <c r="G390" s="35" t="s">
        <v>297</v>
      </c>
      <c r="H390" s="38">
        <f t="shared" si="16"/>
        <v>32.94</v>
      </c>
      <c r="I390" s="38">
        <f t="shared" si="18"/>
        <v>32.94</v>
      </c>
      <c r="K390" t="str">
        <f t="shared" si="17"/>
        <v>ELCNGA</v>
      </c>
    </row>
    <row r="391" spans="3:11" ht="13.2">
      <c r="C391" t="s">
        <v>8</v>
      </c>
      <c r="D391">
        <v>2010</v>
      </c>
      <c r="E391" t="s">
        <v>105</v>
      </c>
      <c r="F391" s="9" t="s">
        <v>9</v>
      </c>
      <c r="G391" s="30" t="s">
        <v>297</v>
      </c>
      <c r="H391" s="38">
        <f t="shared" si="16"/>
        <v>35.355480573398125</v>
      </c>
      <c r="I391" s="38">
        <f t="shared" si="18"/>
        <v>35.355480573398125</v>
      </c>
      <c r="K391" t="str">
        <f t="shared" si="17"/>
        <v>ELCNGA</v>
      </c>
    </row>
    <row r="392" spans="3:11" ht="13.2">
      <c r="C392" t="s">
        <v>8</v>
      </c>
      <c r="D392">
        <v>2011</v>
      </c>
      <c r="E392" t="s">
        <v>105</v>
      </c>
      <c r="F392" s="9" t="s">
        <v>9</v>
      </c>
      <c r="G392" s="30" t="s">
        <v>297</v>
      </c>
      <c r="H392" s="38">
        <f t="shared" si="16"/>
        <v>35.079558172097755</v>
      </c>
      <c r="I392" s="38">
        <f t="shared" si="18"/>
        <v>35.079558172097755</v>
      </c>
      <c r="K392" t="str">
        <f t="shared" si="17"/>
        <v>ELCNGA</v>
      </c>
    </row>
    <row r="393" spans="3:11" ht="13.2">
      <c r="C393" t="s">
        <v>8</v>
      </c>
      <c r="D393">
        <v>2012</v>
      </c>
      <c r="E393" t="s">
        <v>105</v>
      </c>
      <c r="F393" s="9" t="s">
        <v>9</v>
      </c>
      <c r="G393" s="30" t="s">
        <v>297</v>
      </c>
      <c r="H393" s="38">
        <f t="shared" si="16"/>
        <v>35.090374720427818</v>
      </c>
      <c r="I393" s="38">
        <f t="shared" si="18"/>
        <v>35.090374720427818</v>
      </c>
      <c r="K393" t="str">
        <f t="shared" si="17"/>
        <v>ELCNGA</v>
      </c>
    </row>
    <row r="394" spans="3:11" ht="13.2">
      <c r="C394" t="s">
        <v>8</v>
      </c>
      <c r="D394">
        <v>2013</v>
      </c>
      <c r="E394" t="s">
        <v>105</v>
      </c>
      <c r="F394" s="9" t="s">
        <v>9</v>
      </c>
      <c r="G394" s="30" t="s">
        <v>297</v>
      </c>
      <c r="H394" s="38">
        <f t="shared" si="16"/>
        <v>35.397598889545286</v>
      </c>
      <c r="I394" s="38">
        <f t="shared" si="18"/>
        <v>35.397598889545286</v>
      </c>
      <c r="K394" t="str">
        <f t="shared" si="17"/>
        <v>ELCNGA</v>
      </c>
    </row>
    <row r="395" spans="3:11" ht="13.2">
      <c r="C395" t="s">
        <v>8</v>
      </c>
      <c r="D395">
        <v>2014</v>
      </c>
      <c r="E395" t="s">
        <v>105</v>
      </c>
      <c r="F395" s="9" t="s">
        <v>9</v>
      </c>
      <c r="G395" s="30" t="s">
        <v>297</v>
      </c>
      <c r="H395" s="38">
        <f t="shared" si="16"/>
        <v>35.758594704684313</v>
      </c>
      <c r="I395" s="38">
        <f t="shared" si="18"/>
        <v>35.758594704684313</v>
      </c>
      <c r="K395" t="str">
        <f t="shared" si="17"/>
        <v>ELCNGA</v>
      </c>
    </row>
    <row r="396" spans="3:11" ht="13.2">
      <c r="C396" t="s">
        <v>8</v>
      </c>
      <c r="D396">
        <v>2015</v>
      </c>
      <c r="E396" t="s">
        <v>105</v>
      </c>
      <c r="F396" s="9" t="s">
        <v>9</v>
      </c>
      <c r="G396" s="30" t="s">
        <v>297</v>
      </c>
      <c r="H396" s="38">
        <f t="shared" si="16"/>
        <v>32.94</v>
      </c>
      <c r="I396" s="38">
        <f t="shared" si="18"/>
        <v>32.94</v>
      </c>
      <c r="K396" t="str">
        <f t="shared" si="17"/>
        <v>ELCNGA</v>
      </c>
    </row>
    <row r="397" spans="3:11" ht="13.2">
      <c r="C397" t="s">
        <v>8</v>
      </c>
      <c r="D397">
        <v>2016</v>
      </c>
      <c r="E397" t="s">
        <v>105</v>
      </c>
      <c r="F397" s="9" t="s">
        <v>9</v>
      </c>
      <c r="G397" s="30" t="s">
        <v>297</v>
      </c>
      <c r="H397" s="38">
        <f t="shared" si="16"/>
        <v>32.94</v>
      </c>
      <c r="I397" s="38">
        <f t="shared" si="18"/>
        <v>32.94</v>
      </c>
      <c r="K397" t="str">
        <f t="shared" si="17"/>
        <v>ELCNGA</v>
      </c>
    </row>
    <row r="398" spans="3:11" ht="13.2">
      <c r="C398" t="s">
        <v>8</v>
      </c>
      <c r="D398">
        <v>2017</v>
      </c>
      <c r="E398" t="s">
        <v>105</v>
      </c>
      <c r="F398" s="9" t="s">
        <v>9</v>
      </c>
      <c r="G398" s="30" t="s">
        <v>297</v>
      </c>
      <c r="H398" s="38">
        <f t="shared" si="16"/>
        <v>32.94</v>
      </c>
      <c r="I398" s="38">
        <f t="shared" si="18"/>
        <v>32.94</v>
      </c>
      <c r="K398" t="str">
        <f t="shared" si="17"/>
        <v>ELCNGA</v>
      </c>
    </row>
    <row r="399" spans="3:11" ht="13.2">
      <c r="C399" t="s">
        <v>8</v>
      </c>
      <c r="D399">
        <v>2018</v>
      </c>
      <c r="E399" t="s">
        <v>105</v>
      </c>
      <c r="F399" s="9" t="s">
        <v>9</v>
      </c>
      <c r="G399" s="30" t="s">
        <v>297</v>
      </c>
      <c r="H399" s="38">
        <f t="shared" si="16"/>
        <v>32.94</v>
      </c>
      <c r="I399" s="38">
        <f t="shared" si="18"/>
        <v>32.94</v>
      </c>
      <c r="K399" t="str">
        <f t="shared" si="17"/>
        <v>ELCNGA</v>
      </c>
    </row>
    <row r="400" spans="3:11" ht="13.2">
      <c r="C400" t="s">
        <v>8</v>
      </c>
      <c r="D400">
        <v>2019</v>
      </c>
      <c r="E400" t="s">
        <v>105</v>
      </c>
      <c r="F400" s="9" t="s">
        <v>9</v>
      </c>
      <c r="G400" s="30" t="s">
        <v>297</v>
      </c>
      <c r="H400" s="38">
        <f t="shared" si="16"/>
        <v>32.94</v>
      </c>
      <c r="I400" s="38">
        <f t="shared" si="18"/>
        <v>32.94</v>
      </c>
      <c r="K400" t="str">
        <f t="shared" si="17"/>
        <v>ELCNGA</v>
      </c>
    </row>
    <row r="401" spans="3:11" ht="13.2">
      <c r="C401" t="s">
        <v>8</v>
      </c>
      <c r="D401">
        <v>2020</v>
      </c>
      <c r="E401" t="s">
        <v>105</v>
      </c>
      <c r="F401" s="9" t="s">
        <v>9</v>
      </c>
      <c r="G401" s="30" t="s">
        <v>297</v>
      </c>
      <c r="H401" s="38">
        <f t="shared" si="16"/>
        <v>32.94</v>
      </c>
      <c r="I401" s="38">
        <f t="shared" si="18"/>
        <v>32.94</v>
      </c>
      <c r="K401" t="str">
        <f t="shared" si="17"/>
        <v>ELCNGA</v>
      </c>
    </row>
    <row r="402" spans="3:11" ht="13.2">
      <c r="C402" t="s">
        <v>8</v>
      </c>
      <c r="D402">
        <v>2021</v>
      </c>
      <c r="E402" t="s">
        <v>105</v>
      </c>
      <c r="F402" s="9" t="s">
        <v>9</v>
      </c>
      <c r="G402" s="30" t="s">
        <v>297</v>
      </c>
      <c r="H402" s="38">
        <f t="shared" si="16"/>
        <v>32.94</v>
      </c>
      <c r="I402" s="38">
        <f t="shared" si="18"/>
        <v>32.94</v>
      </c>
      <c r="K402" t="str">
        <f t="shared" si="17"/>
        <v>ELCNGA</v>
      </c>
    </row>
    <row r="403" spans="3:11" ht="13.2">
      <c r="C403" t="s">
        <v>8</v>
      </c>
      <c r="D403">
        <v>2022</v>
      </c>
      <c r="E403" t="s">
        <v>105</v>
      </c>
      <c r="F403" s="9" t="s">
        <v>9</v>
      </c>
      <c r="G403" s="30" t="s">
        <v>297</v>
      </c>
      <c r="H403" s="38">
        <f t="shared" si="16"/>
        <v>32.94</v>
      </c>
      <c r="I403" s="38">
        <f t="shared" si="18"/>
        <v>32.94</v>
      </c>
      <c r="K403" t="str">
        <f t="shared" si="17"/>
        <v>ELCNGA</v>
      </c>
    </row>
    <row r="404" spans="3:11" ht="13.2">
      <c r="C404" t="s">
        <v>8</v>
      </c>
      <c r="D404">
        <v>2023</v>
      </c>
      <c r="E404" t="s">
        <v>105</v>
      </c>
      <c r="F404" s="9" t="s">
        <v>9</v>
      </c>
      <c r="G404" s="30" t="s">
        <v>297</v>
      </c>
      <c r="H404" s="38">
        <f t="shared" ref="H404:H467" si="19">HLOOKUP(K404,FuelTax2,D404-2006,FALSE)*$B$10</f>
        <v>32.94</v>
      </c>
      <c r="I404" s="38">
        <f t="shared" si="18"/>
        <v>32.94</v>
      </c>
      <c r="K404" t="str">
        <f t="shared" si="17"/>
        <v>ELCNGA</v>
      </c>
    </row>
    <row r="405" spans="3:11" ht="13.2">
      <c r="C405" t="s">
        <v>8</v>
      </c>
      <c r="D405">
        <v>2024</v>
      </c>
      <c r="E405" t="s">
        <v>105</v>
      </c>
      <c r="F405" s="9" t="s">
        <v>9</v>
      </c>
      <c r="G405" s="30" t="s">
        <v>297</v>
      </c>
      <c r="H405" s="38">
        <f t="shared" si="19"/>
        <v>32.94</v>
      </c>
      <c r="I405" s="38">
        <f t="shared" si="18"/>
        <v>32.94</v>
      </c>
      <c r="K405" t="str">
        <f t="shared" ref="K405:K468" si="20">IF(LEFT(F405,1)="E",F405,"ELC"&amp;F405)</f>
        <v>ELCNGA</v>
      </c>
    </row>
    <row r="406" spans="3:11" ht="13.2">
      <c r="C406" t="s">
        <v>8</v>
      </c>
      <c r="D406">
        <v>2025</v>
      </c>
      <c r="E406" t="s">
        <v>105</v>
      </c>
      <c r="F406" s="9" t="s">
        <v>9</v>
      </c>
      <c r="G406" s="30" t="s">
        <v>297</v>
      </c>
      <c r="H406" s="38">
        <f t="shared" si="19"/>
        <v>32.94</v>
      </c>
      <c r="I406" s="38">
        <f t="shared" si="18"/>
        <v>32.94</v>
      </c>
      <c r="K406" t="str">
        <f t="shared" si="20"/>
        <v>ELCNGA</v>
      </c>
    </row>
    <row r="407" spans="3:11" ht="13.2">
      <c r="C407" t="s">
        <v>8</v>
      </c>
      <c r="D407">
        <v>2026</v>
      </c>
      <c r="E407" t="s">
        <v>105</v>
      </c>
      <c r="F407" s="9" t="s">
        <v>9</v>
      </c>
      <c r="G407" s="30" t="s">
        <v>297</v>
      </c>
      <c r="H407" s="38">
        <f t="shared" si="19"/>
        <v>32.94</v>
      </c>
      <c r="I407" s="38">
        <f t="shared" si="18"/>
        <v>32.94</v>
      </c>
      <c r="K407" t="str">
        <f t="shared" si="20"/>
        <v>ELCNGA</v>
      </c>
    </row>
    <row r="408" spans="3:11" ht="13.2">
      <c r="C408" t="s">
        <v>8</v>
      </c>
      <c r="D408">
        <v>2027</v>
      </c>
      <c r="E408" t="s">
        <v>105</v>
      </c>
      <c r="F408" s="9" t="s">
        <v>9</v>
      </c>
      <c r="G408" s="30" t="s">
        <v>297</v>
      </c>
      <c r="H408" s="38">
        <f t="shared" si="19"/>
        <v>32.94</v>
      </c>
      <c r="I408" s="38">
        <f t="shared" si="18"/>
        <v>32.94</v>
      </c>
      <c r="K408" t="str">
        <f t="shared" si="20"/>
        <v>ELCNGA</v>
      </c>
    </row>
    <row r="409" spans="3:11" ht="13.2">
      <c r="C409" t="s">
        <v>8</v>
      </c>
      <c r="D409">
        <v>2028</v>
      </c>
      <c r="E409" t="s">
        <v>105</v>
      </c>
      <c r="F409" s="9" t="s">
        <v>9</v>
      </c>
      <c r="G409" s="30" t="s">
        <v>297</v>
      </c>
      <c r="H409" s="38">
        <f t="shared" si="19"/>
        <v>32.94</v>
      </c>
      <c r="I409" s="38">
        <f t="shared" si="18"/>
        <v>32.94</v>
      </c>
      <c r="K409" t="str">
        <f t="shared" si="20"/>
        <v>ELCNGA</v>
      </c>
    </row>
    <row r="410" spans="3:11" ht="13.2">
      <c r="C410" t="s">
        <v>8</v>
      </c>
      <c r="D410">
        <v>2029</v>
      </c>
      <c r="E410" t="s">
        <v>105</v>
      </c>
      <c r="F410" s="9" t="s">
        <v>9</v>
      </c>
      <c r="G410" s="30" t="s">
        <v>297</v>
      </c>
      <c r="H410" s="38">
        <f t="shared" si="19"/>
        <v>32.94</v>
      </c>
      <c r="I410" s="38">
        <f t="shared" si="18"/>
        <v>32.94</v>
      </c>
      <c r="K410" t="str">
        <f t="shared" si="20"/>
        <v>ELCNGA</v>
      </c>
    </row>
    <row r="411" spans="3:11" ht="13.2">
      <c r="C411" t="s">
        <v>8</v>
      </c>
      <c r="D411">
        <v>2030</v>
      </c>
      <c r="E411" t="s">
        <v>105</v>
      </c>
      <c r="F411" s="9" t="s">
        <v>9</v>
      </c>
      <c r="G411" s="30" t="s">
        <v>297</v>
      </c>
      <c r="H411" s="38">
        <f t="shared" si="19"/>
        <v>32.94</v>
      </c>
      <c r="I411" s="38">
        <f t="shared" si="18"/>
        <v>32.94</v>
      </c>
      <c r="K411" t="str">
        <f t="shared" si="20"/>
        <v>ELCNGA</v>
      </c>
    </row>
    <row r="412" spans="3:11" ht="13.2">
      <c r="C412" t="s">
        <v>8</v>
      </c>
      <c r="D412">
        <v>2031</v>
      </c>
      <c r="E412" t="s">
        <v>105</v>
      </c>
      <c r="F412" s="9" t="s">
        <v>9</v>
      </c>
      <c r="G412" s="30" t="s">
        <v>297</v>
      </c>
      <c r="H412" s="38">
        <f t="shared" si="19"/>
        <v>32.94</v>
      </c>
      <c r="I412" s="38">
        <f t="shared" si="18"/>
        <v>32.94</v>
      </c>
      <c r="K412" t="str">
        <f t="shared" si="20"/>
        <v>ELCNGA</v>
      </c>
    </row>
    <row r="413" spans="3:11" ht="13.2">
      <c r="C413" t="s">
        <v>8</v>
      </c>
      <c r="D413">
        <v>2032</v>
      </c>
      <c r="E413" t="s">
        <v>105</v>
      </c>
      <c r="F413" s="9" t="s">
        <v>9</v>
      </c>
      <c r="G413" s="30" t="s">
        <v>297</v>
      </c>
      <c r="H413" s="38">
        <f t="shared" si="19"/>
        <v>32.94</v>
      </c>
      <c r="I413" s="38">
        <f t="shared" si="18"/>
        <v>32.94</v>
      </c>
      <c r="K413" t="str">
        <f t="shared" si="20"/>
        <v>ELCNGA</v>
      </c>
    </row>
    <row r="414" spans="3:11" ht="13.2">
      <c r="C414" t="s">
        <v>8</v>
      </c>
      <c r="D414">
        <v>2033</v>
      </c>
      <c r="E414" t="s">
        <v>105</v>
      </c>
      <c r="F414" s="9" t="s">
        <v>9</v>
      </c>
      <c r="G414" s="30" t="s">
        <v>297</v>
      </c>
      <c r="H414" s="38">
        <f t="shared" si="19"/>
        <v>32.94</v>
      </c>
      <c r="I414" s="38">
        <f t="shared" si="18"/>
        <v>32.94</v>
      </c>
      <c r="K414" t="str">
        <f t="shared" si="20"/>
        <v>ELCNGA</v>
      </c>
    </row>
    <row r="415" spans="3:11" ht="13.2">
      <c r="C415" t="s">
        <v>8</v>
      </c>
      <c r="D415">
        <v>2034</v>
      </c>
      <c r="E415" t="s">
        <v>105</v>
      </c>
      <c r="F415" s="9" t="s">
        <v>9</v>
      </c>
      <c r="G415" s="30" t="s">
        <v>297</v>
      </c>
      <c r="H415" s="38">
        <f t="shared" si="19"/>
        <v>32.94</v>
      </c>
      <c r="I415" s="38">
        <f t="shared" si="18"/>
        <v>32.94</v>
      </c>
      <c r="K415" t="str">
        <f t="shared" si="20"/>
        <v>ELCNGA</v>
      </c>
    </row>
    <row r="416" spans="3:11" ht="13.2">
      <c r="C416" t="s">
        <v>8</v>
      </c>
      <c r="D416">
        <v>2035</v>
      </c>
      <c r="E416" t="s">
        <v>105</v>
      </c>
      <c r="F416" s="9" t="s">
        <v>9</v>
      </c>
      <c r="G416" s="30" t="s">
        <v>297</v>
      </c>
      <c r="H416" s="38">
        <f t="shared" si="19"/>
        <v>32.94</v>
      </c>
      <c r="I416" s="38">
        <f t="shared" si="18"/>
        <v>32.94</v>
      </c>
      <c r="K416" t="str">
        <f t="shared" si="20"/>
        <v>ELCNGA</v>
      </c>
    </row>
    <row r="417" spans="3:11" ht="13.2">
      <c r="C417" t="s">
        <v>8</v>
      </c>
      <c r="D417">
        <v>2036</v>
      </c>
      <c r="E417" t="s">
        <v>105</v>
      </c>
      <c r="F417" s="9" t="s">
        <v>9</v>
      </c>
      <c r="G417" s="30" t="s">
        <v>297</v>
      </c>
      <c r="H417" s="38">
        <f t="shared" si="19"/>
        <v>32.94</v>
      </c>
      <c r="I417" s="38">
        <f t="shared" si="18"/>
        <v>32.94</v>
      </c>
      <c r="K417" t="str">
        <f t="shared" si="20"/>
        <v>ELCNGA</v>
      </c>
    </row>
    <row r="418" spans="3:11" ht="13.2">
      <c r="C418" t="s">
        <v>8</v>
      </c>
      <c r="D418">
        <v>2037</v>
      </c>
      <c r="E418" t="s">
        <v>105</v>
      </c>
      <c r="F418" s="9" t="s">
        <v>9</v>
      </c>
      <c r="G418" s="30" t="s">
        <v>297</v>
      </c>
      <c r="H418" s="38">
        <f t="shared" si="19"/>
        <v>32.94</v>
      </c>
      <c r="I418" s="38">
        <f t="shared" si="18"/>
        <v>32.94</v>
      </c>
      <c r="K418" t="str">
        <f t="shared" si="20"/>
        <v>ELCNGA</v>
      </c>
    </row>
    <row r="419" spans="3:11" ht="13.2">
      <c r="C419" t="s">
        <v>8</v>
      </c>
      <c r="D419">
        <v>2038</v>
      </c>
      <c r="E419" t="s">
        <v>105</v>
      </c>
      <c r="F419" s="9" t="s">
        <v>9</v>
      </c>
      <c r="G419" s="30" t="s">
        <v>297</v>
      </c>
      <c r="H419" s="38">
        <f t="shared" si="19"/>
        <v>32.94</v>
      </c>
      <c r="I419" s="38">
        <f t="shared" si="18"/>
        <v>32.94</v>
      </c>
      <c r="K419" t="str">
        <f t="shared" si="20"/>
        <v>ELCNGA</v>
      </c>
    </row>
    <row r="420" spans="3:11" ht="13.2">
      <c r="C420" t="s">
        <v>8</v>
      </c>
      <c r="D420">
        <v>2039</v>
      </c>
      <c r="E420" t="s">
        <v>105</v>
      </c>
      <c r="F420" s="9" t="s">
        <v>9</v>
      </c>
      <c r="G420" s="30" t="s">
        <v>297</v>
      </c>
      <c r="H420" s="38">
        <f t="shared" si="19"/>
        <v>32.94</v>
      </c>
      <c r="I420" s="38">
        <f t="shared" si="18"/>
        <v>32.94</v>
      </c>
      <c r="K420" t="str">
        <f t="shared" si="20"/>
        <v>ELCNGA</v>
      </c>
    </row>
    <row r="421" spans="3:11" ht="13.2">
      <c r="C421" t="s">
        <v>8</v>
      </c>
      <c r="D421">
        <v>2040</v>
      </c>
      <c r="E421" t="s">
        <v>105</v>
      </c>
      <c r="F421" s="9" t="s">
        <v>9</v>
      </c>
      <c r="G421" s="30" t="s">
        <v>297</v>
      </c>
      <c r="H421" s="38">
        <f t="shared" si="19"/>
        <v>32.94</v>
      </c>
      <c r="I421" s="38">
        <f t="shared" si="18"/>
        <v>32.94</v>
      </c>
      <c r="K421" t="str">
        <f t="shared" si="20"/>
        <v>ELCNGA</v>
      </c>
    </row>
    <row r="422" spans="3:11" ht="13.2">
      <c r="C422" t="s">
        <v>8</v>
      </c>
      <c r="D422">
        <v>2041</v>
      </c>
      <c r="E422" t="s">
        <v>105</v>
      </c>
      <c r="F422" s="9" t="s">
        <v>9</v>
      </c>
      <c r="G422" s="30" t="s">
        <v>297</v>
      </c>
      <c r="H422" s="38">
        <f t="shared" si="19"/>
        <v>32.94</v>
      </c>
      <c r="I422" s="38">
        <f t="shared" si="18"/>
        <v>32.94</v>
      </c>
      <c r="K422" t="str">
        <f t="shared" si="20"/>
        <v>ELCNGA</v>
      </c>
    </row>
    <row r="423" spans="3:11" ht="13.2">
      <c r="C423" t="s">
        <v>8</v>
      </c>
      <c r="D423">
        <v>2042</v>
      </c>
      <c r="E423" t="s">
        <v>105</v>
      </c>
      <c r="F423" s="9" t="s">
        <v>9</v>
      </c>
      <c r="G423" s="30" t="s">
        <v>297</v>
      </c>
      <c r="H423" s="38">
        <f t="shared" si="19"/>
        <v>32.94</v>
      </c>
      <c r="I423" s="38">
        <f t="shared" si="18"/>
        <v>32.94</v>
      </c>
      <c r="K423" t="str">
        <f t="shared" si="20"/>
        <v>ELCNGA</v>
      </c>
    </row>
    <row r="424" spans="3:11" ht="13.2">
      <c r="C424" t="s">
        <v>8</v>
      </c>
      <c r="D424">
        <v>2043</v>
      </c>
      <c r="E424" t="s">
        <v>105</v>
      </c>
      <c r="F424" s="9" t="s">
        <v>9</v>
      </c>
      <c r="G424" s="30" t="s">
        <v>297</v>
      </c>
      <c r="H424" s="38">
        <f t="shared" si="19"/>
        <v>32.94</v>
      </c>
      <c r="I424" s="38">
        <f t="shared" si="18"/>
        <v>32.94</v>
      </c>
      <c r="K424" t="str">
        <f t="shared" si="20"/>
        <v>ELCNGA</v>
      </c>
    </row>
    <row r="425" spans="3:11" ht="13.2">
      <c r="C425" t="s">
        <v>8</v>
      </c>
      <c r="D425">
        <v>2044</v>
      </c>
      <c r="E425" t="s">
        <v>105</v>
      </c>
      <c r="F425" s="9" t="s">
        <v>9</v>
      </c>
      <c r="G425" s="30" t="s">
        <v>297</v>
      </c>
      <c r="H425" s="38">
        <f t="shared" si="19"/>
        <v>32.94</v>
      </c>
      <c r="I425" s="38">
        <f t="shared" si="18"/>
        <v>32.94</v>
      </c>
      <c r="K425" t="str">
        <f t="shared" si="20"/>
        <v>ELCNGA</v>
      </c>
    </row>
    <row r="426" spans="3:11" ht="13.2">
      <c r="C426" t="s">
        <v>8</v>
      </c>
      <c r="D426">
        <v>2045</v>
      </c>
      <c r="E426" t="s">
        <v>105</v>
      </c>
      <c r="F426" s="9" t="s">
        <v>9</v>
      </c>
      <c r="G426" s="30" t="s">
        <v>297</v>
      </c>
      <c r="H426" s="38">
        <f t="shared" si="19"/>
        <v>32.94</v>
      </c>
      <c r="I426" s="38">
        <f t="shared" si="18"/>
        <v>32.94</v>
      </c>
      <c r="K426" t="str">
        <f t="shared" si="20"/>
        <v>ELCNGA</v>
      </c>
    </row>
    <row r="427" spans="3:11" ht="13.2">
      <c r="C427" t="s">
        <v>8</v>
      </c>
      <c r="D427">
        <v>2046</v>
      </c>
      <c r="E427" t="s">
        <v>105</v>
      </c>
      <c r="F427" s="9" t="s">
        <v>9</v>
      </c>
      <c r="G427" s="30" t="s">
        <v>297</v>
      </c>
      <c r="H427" s="38">
        <f t="shared" si="19"/>
        <v>32.94</v>
      </c>
      <c r="I427" s="38">
        <f t="shared" si="18"/>
        <v>32.94</v>
      </c>
      <c r="K427" t="str">
        <f t="shared" si="20"/>
        <v>ELCNGA</v>
      </c>
    </row>
    <row r="428" spans="3:11" ht="13.2">
      <c r="C428" t="s">
        <v>8</v>
      </c>
      <c r="D428">
        <v>2047</v>
      </c>
      <c r="E428" t="s">
        <v>105</v>
      </c>
      <c r="F428" s="9" t="s">
        <v>9</v>
      </c>
      <c r="G428" s="30" t="s">
        <v>297</v>
      </c>
      <c r="H428" s="38">
        <f t="shared" si="19"/>
        <v>32.94</v>
      </c>
      <c r="I428" s="38">
        <f t="shared" si="18"/>
        <v>32.94</v>
      </c>
      <c r="K428" t="str">
        <f t="shared" si="20"/>
        <v>ELCNGA</v>
      </c>
    </row>
    <row r="429" spans="3:11" ht="13.2">
      <c r="C429" t="s">
        <v>8</v>
      </c>
      <c r="D429">
        <v>2048</v>
      </c>
      <c r="E429" t="s">
        <v>105</v>
      </c>
      <c r="F429" s="9" t="s">
        <v>9</v>
      </c>
      <c r="G429" s="30" t="s">
        <v>297</v>
      </c>
      <c r="H429" s="38">
        <f t="shared" si="19"/>
        <v>32.94</v>
      </c>
      <c r="I429" s="38">
        <f t="shared" si="18"/>
        <v>32.94</v>
      </c>
      <c r="K429" t="str">
        <f t="shared" si="20"/>
        <v>ELCNGA</v>
      </c>
    </row>
    <row r="430" spans="3:11" ht="13.2">
      <c r="C430" t="s">
        <v>8</v>
      </c>
      <c r="D430">
        <v>2049</v>
      </c>
      <c r="E430" t="s">
        <v>105</v>
      </c>
      <c r="F430" s="9" t="s">
        <v>9</v>
      </c>
      <c r="G430" s="30" t="s">
        <v>297</v>
      </c>
      <c r="H430" s="38">
        <f t="shared" si="19"/>
        <v>32.94</v>
      </c>
      <c r="I430" s="38">
        <f t="shared" si="18"/>
        <v>32.94</v>
      </c>
      <c r="K430" t="str">
        <f t="shared" si="20"/>
        <v>ELCNGA</v>
      </c>
    </row>
    <row r="431" spans="3:11" ht="13.2">
      <c r="C431" s="7" t="s">
        <v>8</v>
      </c>
      <c r="D431" s="7">
        <v>2050</v>
      </c>
      <c r="E431" s="7" t="s">
        <v>105</v>
      </c>
      <c r="F431" s="7" t="s">
        <v>9</v>
      </c>
      <c r="G431" s="35" t="s">
        <v>297</v>
      </c>
      <c r="H431" s="38">
        <f t="shared" si="19"/>
        <v>32.94</v>
      </c>
      <c r="I431" s="38">
        <f t="shared" si="18"/>
        <v>32.94</v>
      </c>
      <c r="K431" t="str">
        <f t="shared" si="20"/>
        <v>ELCNGA</v>
      </c>
    </row>
    <row r="432" spans="3:11" ht="13.2">
      <c r="C432" t="s">
        <v>8</v>
      </c>
      <c r="D432">
        <v>2010</v>
      </c>
      <c r="E432" t="s">
        <v>104</v>
      </c>
      <c r="F432" t="s">
        <v>9</v>
      </c>
      <c r="G432" s="30" t="s">
        <v>297</v>
      </c>
      <c r="H432" s="38">
        <f t="shared" si="19"/>
        <v>35.355480573398125</v>
      </c>
      <c r="I432" s="38">
        <f t="shared" si="18"/>
        <v>35.355480573398125</v>
      </c>
      <c r="K432" t="str">
        <f t="shared" si="20"/>
        <v>ELCNGA</v>
      </c>
    </row>
    <row r="433" spans="3:11" ht="13.2">
      <c r="C433" t="s">
        <v>8</v>
      </c>
      <c r="D433">
        <v>2011</v>
      </c>
      <c r="E433" t="s">
        <v>104</v>
      </c>
      <c r="F433" t="s">
        <v>9</v>
      </c>
      <c r="G433" s="30" t="s">
        <v>297</v>
      </c>
      <c r="H433" s="38">
        <f t="shared" si="19"/>
        <v>35.079558172097755</v>
      </c>
      <c r="I433" s="38">
        <f t="shared" si="18"/>
        <v>35.079558172097755</v>
      </c>
      <c r="K433" t="str">
        <f t="shared" si="20"/>
        <v>ELCNGA</v>
      </c>
    </row>
    <row r="434" spans="3:11" ht="13.2">
      <c r="C434" t="s">
        <v>8</v>
      </c>
      <c r="D434">
        <v>2012</v>
      </c>
      <c r="E434" t="s">
        <v>104</v>
      </c>
      <c r="F434" t="s">
        <v>9</v>
      </c>
      <c r="G434" s="30" t="s">
        <v>297</v>
      </c>
      <c r="H434" s="38">
        <f t="shared" si="19"/>
        <v>35.090374720427818</v>
      </c>
      <c r="I434" s="38">
        <f t="shared" si="18"/>
        <v>35.090374720427818</v>
      </c>
      <c r="K434" t="str">
        <f t="shared" si="20"/>
        <v>ELCNGA</v>
      </c>
    </row>
    <row r="435" spans="3:11" ht="13.2">
      <c r="C435" t="s">
        <v>8</v>
      </c>
      <c r="D435">
        <v>2013</v>
      </c>
      <c r="E435" t="s">
        <v>104</v>
      </c>
      <c r="F435" t="s">
        <v>9</v>
      </c>
      <c r="G435" s="30" t="s">
        <v>297</v>
      </c>
      <c r="H435" s="38">
        <f t="shared" si="19"/>
        <v>35.397598889545286</v>
      </c>
      <c r="I435" s="38">
        <f t="shared" si="18"/>
        <v>35.397598889545286</v>
      </c>
      <c r="K435" t="str">
        <f t="shared" si="20"/>
        <v>ELCNGA</v>
      </c>
    </row>
    <row r="436" spans="3:11" ht="13.2">
      <c r="C436" t="s">
        <v>8</v>
      </c>
      <c r="D436">
        <v>2014</v>
      </c>
      <c r="E436" t="s">
        <v>104</v>
      </c>
      <c r="F436" t="s">
        <v>9</v>
      </c>
      <c r="G436" s="30" t="s">
        <v>297</v>
      </c>
      <c r="H436" s="38">
        <f t="shared" si="19"/>
        <v>35.758594704684313</v>
      </c>
      <c r="I436" s="38">
        <f t="shared" si="18"/>
        <v>35.758594704684313</v>
      </c>
      <c r="K436" t="str">
        <f t="shared" si="20"/>
        <v>ELCNGA</v>
      </c>
    </row>
    <row r="437" spans="3:11" ht="13.2">
      <c r="C437" t="s">
        <v>8</v>
      </c>
      <c r="D437">
        <v>2015</v>
      </c>
      <c r="E437" t="s">
        <v>104</v>
      </c>
      <c r="F437" t="s">
        <v>9</v>
      </c>
      <c r="G437" s="30" t="s">
        <v>297</v>
      </c>
      <c r="H437" s="38">
        <f t="shared" si="19"/>
        <v>32.94</v>
      </c>
      <c r="I437" s="38">
        <f t="shared" si="18"/>
        <v>32.94</v>
      </c>
      <c r="K437" t="str">
        <f t="shared" si="20"/>
        <v>ELCNGA</v>
      </c>
    </row>
    <row r="438" spans="3:11" ht="13.2">
      <c r="C438" t="s">
        <v>8</v>
      </c>
      <c r="D438">
        <v>2016</v>
      </c>
      <c r="E438" t="s">
        <v>104</v>
      </c>
      <c r="F438" t="s">
        <v>9</v>
      </c>
      <c r="G438" s="30" t="s">
        <v>297</v>
      </c>
      <c r="H438" s="38">
        <f t="shared" si="19"/>
        <v>32.94</v>
      </c>
      <c r="I438" s="38">
        <f t="shared" si="18"/>
        <v>32.94</v>
      </c>
      <c r="K438" t="str">
        <f t="shared" si="20"/>
        <v>ELCNGA</v>
      </c>
    </row>
    <row r="439" spans="3:11" ht="13.2">
      <c r="C439" t="s">
        <v>8</v>
      </c>
      <c r="D439">
        <v>2017</v>
      </c>
      <c r="E439" t="s">
        <v>104</v>
      </c>
      <c r="F439" t="s">
        <v>9</v>
      </c>
      <c r="G439" s="30" t="s">
        <v>297</v>
      </c>
      <c r="H439" s="38">
        <f t="shared" si="19"/>
        <v>32.94</v>
      </c>
      <c r="I439" s="38">
        <f t="shared" si="18"/>
        <v>32.94</v>
      </c>
      <c r="K439" t="str">
        <f t="shared" si="20"/>
        <v>ELCNGA</v>
      </c>
    </row>
    <row r="440" spans="3:11" ht="13.2">
      <c r="C440" t="s">
        <v>8</v>
      </c>
      <c r="D440">
        <v>2018</v>
      </c>
      <c r="E440" t="s">
        <v>104</v>
      </c>
      <c r="F440" t="s">
        <v>9</v>
      </c>
      <c r="G440" s="30" t="s">
        <v>297</v>
      </c>
      <c r="H440" s="38">
        <f t="shared" si="19"/>
        <v>32.94</v>
      </c>
      <c r="I440" s="38">
        <f t="shared" si="18"/>
        <v>32.94</v>
      </c>
      <c r="K440" t="str">
        <f t="shared" si="20"/>
        <v>ELCNGA</v>
      </c>
    </row>
    <row r="441" spans="3:11" ht="13.2">
      <c r="C441" t="s">
        <v>8</v>
      </c>
      <c r="D441">
        <v>2019</v>
      </c>
      <c r="E441" t="s">
        <v>104</v>
      </c>
      <c r="F441" t="s">
        <v>9</v>
      </c>
      <c r="G441" s="30" t="s">
        <v>297</v>
      </c>
      <c r="H441" s="38">
        <f t="shared" si="19"/>
        <v>32.94</v>
      </c>
      <c r="I441" s="38">
        <f t="shared" si="18"/>
        <v>32.94</v>
      </c>
      <c r="K441" t="str">
        <f t="shared" si="20"/>
        <v>ELCNGA</v>
      </c>
    </row>
    <row r="442" spans="3:11" ht="13.2">
      <c r="C442" t="s">
        <v>8</v>
      </c>
      <c r="D442">
        <v>2020</v>
      </c>
      <c r="E442" t="s">
        <v>104</v>
      </c>
      <c r="F442" t="s">
        <v>9</v>
      </c>
      <c r="G442" s="30" t="s">
        <v>297</v>
      </c>
      <c r="H442" s="38">
        <f t="shared" si="19"/>
        <v>32.94</v>
      </c>
      <c r="I442" s="38">
        <f t="shared" si="18"/>
        <v>32.94</v>
      </c>
      <c r="K442" t="str">
        <f t="shared" si="20"/>
        <v>ELCNGA</v>
      </c>
    </row>
    <row r="443" spans="3:11" ht="13.2">
      <c r="C443" t="s">
        <v>8</v>
      </c>
      <c r="D443">
        <v>2021</v>
      </c>
      <c r="E443" t="s">
        <v>104</v>
      </c>
      <c r="F443" t="s">
        <v>9</v>
      </c>
      <c r="G443" s="30" t="s">
        <v>297</v>
      </c>
      <c r="H443" s="38">
        <f t="shared" si="19"/>
        <v>32.94</v>
      </c>
      <c r="I443" s="38">
        <f t="shared" si="18"/>
        <v>32.94</v>
      </c>
      <c r="K443" t="str">
        <f t="shared" si="20"/>
        <v>ELCNGA</v>
      </c>
    </row>
    <row r="444" spans="3:11" ht="13.2">
      <c r="C444" t="s">
        <v>8</v>
      </c>
      <c r="D444">
        <v>2022</v>
      </c>
      <c r="E444" t="s">
        <v>104</v>
      </c>
      <c r="F444" t="s">
        <v>9</v>
      </c>
      <c r="G444" s="30" t="s">
        <v>297</v>
      </c>
      <c r="H444" s="38">
        <f t="shared" si="19"/>
        <v>32.94</v>
      </c>
      <c r="I444" s="38">
        <f t="shared" si="18"/>
        <v>32.94</v>
      </c>
      <c r="K444" t="str">
        <f t="shared" si="20"/>
        <v>ELCNGA</v>
      </c>
    </row>
    <row r="445" spans="3:11" ht="13.2">
      <c r="C445" t="s">
        <v>8</v>
      </c>
      <c r="D445">
        <v>2023</v>
      </c>
      <c r="E445" t="s">
        <v>104</v>
      </c>
      <c r="F445" t="s">
        <v>9</v>
      </c>
      <c r="G445" s="30" t="s">
        <v>297</v>
      </c>
      <c r="H445" s="38">
        <f t="shared" si="19"/>
        <v>32.94</v>
      </c>
      <c r="I445" s="38">
        <f t="shared" si="18"/>
        <v>32.94</v>
      </c>
      <c r="K445" t="str">
        <f t="shared" si="20"/>
        <v>ELCNGA</v>
      </c>
    </row>
    <row r="446" spans="3:11" ht="13.2">
      <c r="C446" t="s">
        <v>8</v>
      </c>
      <c r="D446">
        <v>2024</v>
      </c>
      <c r="E446" t="s">
        <v>104</v>
      </c>
      <c r="F446" t="s">
        <v>9</v>
      </c>
      <c r="G446" s="30" t="s">
        <v>297</v>
      </c>
      <c r="H446" s="38">
        <f t="shared" si="19"/>
        <v>32.94</v>
      </c>
      <c r="I446" s="38">
        <f t="shared" si="18"/>
        <v>32.94</v>
      </c>
      <c r="K446" t="str">
        <f t="shared" si="20"/>
        <v>ELCNGA</v>
      </c>
    </row>
    <row r="447" spans="3:11" ht="13.2">
      <c r="C447" t="s">
        <v>8</v>
      </c>
      <c r="D447">
        <v>2025</v>
      </c>
      <c r="E447" t="s">
        <v>104</v>
      </c>
      <c r="F447" t="s">
        <v>9</v>
      </c>
      <c r="G447" s="30" t="s">
        <v>297</v>
      </c>
      <c r="H447" s="38">
        <f t="shared" si="19"/>
        <v>32.94</v>
      </c>
      <c r="I447" s="38">
        <f t="shared" si="18"/>
        <v>32.94</v>
      </c>
      <c r="K447" t="str">
        <f t="shared" si="20"/>
        <v>ELCNGA</v>
      </c>
    </row>
    <row r="448" spans="3:11" ht="13.2">
      <c r="C448" t="s">
        <v>8</v>
      </c>
      <c r="D448">
        <v>2026</v>
      </c>
      <c r="E448" t="s">
        <v>104</v>
      </c>
      <c r="F448" t="s">
        <v>9</v>
      </c>
      <c r="G448" s="30" t="s">
        <v>297</v>
      </c>
      <c r="H448" s="38">
        <f t="shared" si="19"/>
        <v>32.94</v>
      </c>
      <c r="I448" s="38">
        <f t="shared" ref="I448:I511" si="21">H448</f>
        <v>32.94</v>
      </c>
      <c r="K448" t="str">
        <f t="shared" si="20"/>
        <v>ELCNGA</v>
      </c>
    </row>
    <row r="449" spans="3:11" ht="13.2">
      <c r="C449" t="s">
        <v>8</v>
      </c>
      <c r="D449">
        <v>2027</v>
      </c>
      <c r="E449" t="s">
        <v>104</v>
      </c>
      <c r="F449" t="s">
        <v>9</v>
      </c>
      <c r="G449" s="30" t="s">
        <v>297</v>
      </c>
      <c r="H449" s="38">
        <f t="shared" si="19"/>
        <v>32.94</v>
      </c>
      <c r="I449" s="38">
        <f t="shared" si="21"/>
        <v>32.94</v>
      </c>
      <c r="K449" t="str">
        <f t="shared" si="20"/>
        <v>ELCNGA</v>
      </c>
    </row>
    <row r="450" spans="3:11" ht="13.2">
      <c r="C450" t="s">
        <v>8</v>
      </c>
      <c r="D450">
        <v>2028</v>
      </c>
      <c r="E450" t="s">
        <v>104</v>
      </c>
      <c r="F450" t="s">
        <v>9</v>
      </c>
      <c r="G450" s="30" t="s">
        <v>297</v>
      </c>
      <c r="H450" s="38">
        <f t="shared" si="19"/>
        <v>32.94</v>
      </c>
      <c r="I450" s="38">
        <f t="shared" si="21"/>
        <v>32.94</v>
      </c>
      <c r="K450" t="str">
        <f t="shared" si="20"/>
        <v>ELCNGA</v>
      </c>
    </row>
    <row r="451" spans="3:11" ht="13.2">
      <c r="C451" t="s">
        <v>8</v>
      </c>
      <c r="D451">
        <v>2029</v>
      </c>
      <c r="E451" t="s">
        <v>104</v>
      </c>
      <c r="F451" t="s">
        <v>9</v>
      </c>
      <c r="G451" s="30" t="s">
        <v>297</v>
      </c>
      <c r="H451" s="38">
        <f t="shared" si="19"/>
        <v>32.94</v>
      </c>
      <c r="I451" s="38">
        <f t="shared" si="21"/>
        <v>32.94</v>
      </c>
      <c r="K451" t="str">
        <f t="shared" si="20"/>
        <v>ELCNGA</v>
      </c>
    </row>
    <row r="452" spans="3:11" ht="13.2">
      <c r="C452" t="s">
        <v>8</v>
      </c>
      <c r="D452">
        <v>2030</v>
      </c>
      <c r="E452" t="s">
        <v>104</v>
      </c>
      <c r="F452" t="s">
        <v>9</v>
      </c>
      <c r="G452" s="30" t="s">
        <v>297</v>
      </c>
      <c r="H452" s="38">
        <f t="shared" si="19"/>
        <v>32.94</v>
      </c>
      <c r="I452" s="38">
        <f t="shared" si="21"/>
        <v>32.94</v>
      </c>
      <c r="K452" t="str">
        <f t="shared" si="20"/>
        <v>ELCNGA</v>
      </c>
    </row>
    <row r="453" spans="3:11" ht="13.2">
      <c r="C453" t="s">
        <v>8</v>
      </c>
      <c r="D453">
        <v>2031</v>
      </c>
      <c r="E453" t="s">
        <v>104</v>
      </c>
      <c r="F453" t="s">
        <v>9</v>
      </c>
      <c r="G453" s="30" t="s">
        <v>297</v>
      </c>
      <c r="H453" s="38">
        <f t="shared" si="19"/>
        <v>32.94</v>
      </c>
      <c r="I453" s="38">
        <f t="shared" si="21"/>
        <v>32.94</v>
      </c>
      <c r="K453" t="str">
        <f t="shared" si="20"/>
        <v>ELCNGA</v>
      </c>
    </row>
    <row r="454" spans="3:11" ht="13.2">
      <c r="C454" t="s">
        <v>8</v>
      </c>
      <c r="D454">
        <v>2032</v>
      </c>
      <c r="E454" t="s">
        <v>104</v>
      </c>
      <c r="F454" t="s">
        <v>9</v>
      </c>
      <c r="G454" s="30" t="s">
        <v>297</v>
      </c>
      <c r="H454" s="38">
        <f t="shared" si="19"/>
        <v>32.94</v>
      </c>
      <c r="I454" s="38">
        <f t="shared" si="21"/>
        <v>32.94</v>
      </c>
      <c r="K454" t="str">
        <f t="shared" si="20"/>
        <v>ELCNGA</v>
      </c>
    </row>
    <row r="455" spans="3:11" ht="13.2">
      <c r="C455" t="s">
        <v>8</v>
      </c>
      <c r="D455">
        <v>2033</v>
      </c>
      <c r="E455" t="s">
        <v>104</v>
      </c>
      <c r="F455" t="s">
        <v>9</v>
      </c>
      <c r="G455" s="30" t="s">
        <v>297</v>
      </c>
      <c r="H455" s="38">
        <f t="shared" si="19"/>
        <v>32.94</v>
      </c>
      <c r="I455" s="38">
        <f t="shared" si="21"/>
        <v>32.94</v>
      </c>
      <c r="K455" t="str">
        <f t="shared" si="20"/>
        <v>ELCNGA</v>
      </c>
    </row>
    <row r="456" spans="3:11" ht="13.2">
      <c r="C456" t="s">
        <v>8</v>
      </c>
      <c r="D456">
        <v>2034</v>
      </c>
      <c r="E456" t="s">
        <v>104</v>
      </c>
      <c r="F456" t="s">
        <v>9</v>
      </c>
      <c r="G456" s="30" t="s">
        <v>297</v>
      </c>
      <c r="H456" s="38">
        <f t="shared" si="19"/>
        <v>32.94</v>
      </c>
      <c r="I456" s="38">
        <f t="shared" si="21"/>
        <v>32.94</v>
      </c>
      <c r="K456" t="str">
        <f t="shared" si="20"/>
        <v>ELCNGA</v>
      </c>
    </row>
    <row r="457" spans="3:11" ht="13.2">
      <c r="C457" t="s">
        <v>8</v>
      </c>
      <c r="D457">
        <v>2035</v>
      </c>
      <c r="E457" t="s">
        <v>104</v>
      </c>
      <c r="F457" t="s">
        <v>9</v>
      </c>
      <c r="G457" s="30" t="s">
        <v>297</v>
      </c>
      <c r="H457" s="38">
        <f t="shared" si="19"/>
        <v>32.94</v>
      </c>
      <c r="I457" s="38">
        <f t="shared" si="21"/>
        <v>32.94</v>
      </c>
      <c r="K457" t="str">
        <f t="shared" si="20"/>
        <v>ELCNGA</v>
      </c>
    </row>
    <row r="458" spans="3:11" ht="13.2">
      <c r="C458" t="s">
        <v>8</v>
      </c>
      <c r="D458">
        <v>2036</v>
      </c>
      <c r="E458" t="s">
        <v>104</v>
      </c>
      <c r="F458" t="s">
        <v>9</v>
      </c>
      <c r="G458" s="30" t="s">
        <v>297</v>
      </c>
      <c r="H458" s="38">
        <f t="shared" si="19"/>
        <v>32.94</v>
      </c>
      <c r="I458" s="38">
        <f t="shared" si="21"/>
        <v>32.94</v>
      </c>
      <c r="K458" t="str">
        <f t="shared" si="20"/>
        <v>ELCNGA</v>
      </c>
    </row>
    <row r="459" spans="3:11" ht="13.2">
      <c r="C459" t="s">
        <v>8</v>
      </c>
      <c r="D459">
        <v>2037</v>
      </c>
      <c r="E459" t="s">
        <v>104</v>
      </c>
      <c r="F459" t="s">
        <v>9</v>
      </c>
      <c r="G459" s="30" t="s">
        <v>297</v>
      </c>
      <c r="H459" s="38">
        <f t="shared" si="19"/>
        <v>32.94</v>
      </c>
      <c r="I459" s="38">
        <f t="shared" si="21"/>
        <v>32.94</v>
      </c>
      <c r="K459" t="str">
        <f t="shared" si="20"/>
        <v>ELCNGA</v>
      </c>
    </row>
    <row r="460" spans="3:11" ht="13.2">
      <c r="C460" t="s">
        <v>8</v>
      </c>
      <c r="D460">
        <v>2038</v>
      </c>
      <c r="E460" t="s">
        <v>104</v>
      </c>
      <c r="F460" t="s">
        <v>9</v>
      </c>
      <c r="G460" s="30" t="s">
        <v>297</v>
      </c>
      <c r="H460" s="38">
        <f t="shared" si="19"/>
        <v>32.94</v>
      </c>
      <c r="I460" s="38">
        <f t="shared" si="21"/>
        <v>32.94</v>
      </c>
      <c r="K460" t="str">
        <f t="shared" si="20"/>
        <v>ELCNGA</v>
      </c>
    </row>
    <row r="461" spans="3:11" ht="13.2">
      <c r="C461" t="s">
        <v>8</v>
      </c>
      <c r="D461">
        <v>2039</v>
      </c>
      <c r="E461" t="s">
        <v>104</v>
      </c>
      <c r="F461" t="s">
        <v>9</v>
      </c>
      <c r="G461" s="30" t="s">
        <v>297</v>
      </c>
      <c r="H461" s="38">
        <f t="shared" si="19"/>
        <v>32.94</v>
      </c>
      <c r="I461" s="38">
        <f t="shared" si="21"/>
        <v>32.94</v>
      </c>
      <c r="K461" t="str">
        <f t="shared" si="20"/>
        <v>ELCNGA</v>
      </c>
    </row>
    <row r="462" spans="3:11" ht="13.2">
      <c r="C462" t="s">
        <v>8</v>
      </c>
      <c r="D462">
        <v>2040</v>
      </c>
      <c r="E462" t="s">
        <v>104</v>
      </c>
      <c r="F462" t="s">
        <v>9</v>
      </c>
      <c r="G462" s="30" t="s">
        <v>297</v>
      </c>
      <c r="H462" s="38">
        <f t="shared" si="19"/>
        <v>32.94</v>
      </c>
      <c r="I462" s="38">
        <f t="shared" si="21"/>
        <v>32.94</v>
      </c>
      <c r="K462" t="str">
        <f t="shared" si="20"/>
        <v>ELCNGA</v>
      </c>
    </row>
    <row r="463" spans="3:11" ht="13.2">
      <c r="C463" t="s">
        <v>8</v>
      </c>
      <c r="D463">
        <v>2041</v>
      </c>
      <c r="E463" t="s">
        <v>104</v>
      </c>
      <c r="F463" t="s">
        <v>9</v>
      </c>
      <c r="G463" s="30" t="s">
        <v>297</v>
      </c>
      <c r="H463" s="38">
        <f t="shared" si="19"/>
        <v>32.94</v>
      </c>
      <c r="I463" s="38">
        <f t="shared" si="21"/>
        <v>32.94</v>
      </c>
      <c r="K463" t="str">
        <f t="shared" si="20"/>
        <v>ELCNGA</v>
      </c>
    </row>
    <row r="464" spans="3:11" ht="13.2">
      <c r="C464" t="s">
        <v>8</v>
      </c>
      <c r="D464">
        <v>2042</v>
      </c>
      <c r="E464" t="s">
        <v>104</v>
      </c>
      <c r="F464" t="s">
        <v>9</v>
      </c>
      <c r="G464" s="30" t="s">
        <v>297</v>
      </c>
      <c r="H464" s="38">
        <f t="shared" si="19"/>
        <v>32.94</v>
      </c>
      <c r="I464" s="38">
        <f t="shared" si="21"/>
        <v>32.94</v>
      </c>
      <c r="K464" t="str">
        <f t="shared" si="20"/>
        <v>ELCNGA</v>
      </c>
    </row>
    <row r="465" spans="3:11" ht="13.2">
      <c r="C465" t="s">
        <v>8</v>
      </c>
      <c r="D465">
        <v>2043</v>
      </c>
      <c r="E465" t="s">
        <v>104</v>
      </c>
      <c r="F465" t="s">
        <v>9</v>
      </c>
      <c r="G465" s="30" t="s">
        <v>297</v>
      </c>
      <c r="H465" s="38">
        <f t="shared" si="19"/>
        <v>32.94</v>
      </c>
      <c r="I465" s="38">
        <f t="shared" si="21"/>
        <v>32.94</v>
      </c>
      <c r="K465" t="str">
        <f t="shared" si="20"/>
        <v>ELCNGA</v>
      </c>
    </row>
    <row r="466" spans="3:11" ht="13.2">
      <c r="C466" t="s">
        <v>8</v>
      </c>
      <c r="D466">
        <v>2044</v>
      </c>
      <c r="E466" t="s">
        <v>104</v>
      </c>
      <c r="F466" t="s">
        <v>9</v>
      </c>
      <c r="G466" s="30" t="s">
        <v>297</v>
      </c>
      <c r="H466" s="38">
        <f t="shared" si="19"/>
        <v>32.94</v>
      </c>
      <c r="I466" s="38">
        <f t="shared" si="21"/>
        <v>32.94</v>
      </c>
      <c r="K466" t="str">
        <f t="shared" si="20"/>
        <v>ELCNGA</v>
      </c>
    </row>
    <row r="467" spans="3:11" ht="13.2">
      <c r="C467" t="s">
        <v>8</v>
      </c>
      <c r="D467">
        <v>2045</v>
      </c>
      <c r="E467" t="s">
        <v>104</v>
      </c>
      <c r="F467" t="s">
        <v>9</v>
      </c>
      <c r="G467" s="30" t="s">
        <v>297</v>
      </c>
      <c r="H467" s="38">
        <f t="shared" si="19"/>
        <v>32.94</v>
      </c>
      <c r="I467" s="38">
        <f t="shared" si="21"/>
        <v>32.94</v>
      </c>
      <c r="K467" t="str">
        <f t="shared" si="20"/>
        <v>ELCNGA</v>
      </c>
    </row>
    <row r="468" spans="3:11" ht="13.2">
      <c r="C468" t="s">
        <v>8</v>
      </c>
      <c r="D468">
        <v>2046</v>
      </c>
      <c r="E468" t="s">
        <v>104</v>
      </c>
      <c r="F468" t="s">
        <v>9</v>
      </c>
      <c r="G468" s="30" t="s">
        <v>297</v>
      </c>
      <c r="H468" s="38">
        <f t="shared" ref="H468:H531" si="22">HLOOKUP(K468,FuelTax2,D468-2006,FALSE)*$B$10</f>
        <v>32.94</v>
      </c>
      <c r="I468" s="38">
        <f t="shared" si="21"/>
        <v>32.94</v>
      </c>
      <c r="K468" t="str">
        <f t="shared" si="20"/>
        <v>ELCNGA</v>
      </c>
    </row>
    <row r="469" spans="3:11" ht="13.2">
      <c r="C469" t="s">
        <v>8</v>
      </c>
      <c r="D469">
        <v>2047</v>
      </c>
      <c r="E469" t="s">
        <v>104</v>
      </c>
      <c r="F469" t="s">
        <v>9</v>
      </c>
      <c r="G469" s="30" t="s">
        <v>297</v>
      </c>
      <c r="H469" s="38">
        <f t="shared" si="22"/>
        <v>32.94</v>
      </c>
      <c r="I469" s="38">
        <f t="shared" si="21"/>
        <v>32.94</v>
      </c>
      <c r="K469" t="str">
        <f t="shared" ref="K469:K532" si="23">IF(LEFT(F469,1)="E",F469,"ELC"&amp;F469)</f>
        <v>ELCNGA</v>
      </c>
    </row>
    <row r="470" spans="3:11" ht="13.2">
      <c r="C470" t="s">
        <v>8</v>
      </c>
      <c r="D470">
        <v>2048</v>
      </c>
      <c r="E470" t="s">
        <v>104</v>
      </c>
      <c r="F470" t="s">
        <v>9</v>
      </c>
      <c r="G470" s="30" t="s">
        <v>297</v>
      </c>
      <c r="H470" s="38">
        <f t="shared" si="22"/>
        <v>32.94</v>
      </c>
      <c r="I470" s="38">
        <f t="shared" si="21"/>
        <v>32.94</v>
      </c>
      <c r="K470" t="str">
        <f t="shared" si="23"/>
        <v>ELCNGA</v>
      </c>
    </row>
    <row r="471" spans="3:11" ht="13.2">
      <c r="C471" t="s">
        <v>8</v>
      </c>
      <c r="D471">
        <v>2049</v>
      </c>
      <c r="E471" t="s">
        <v>104</v>
      </c>
      <c r="F471" t="s">
        <v>9</v>
      </c>
      <c r="G471" s="30" t="s">
        <v>297</v>
      </c>
      <c r="H471" s="38">
        <f t="shared" si="22"/>
        <v>32.94</v>
      </c>
      <c r="I471" s="38">
        <f t="shared" si="21"/>
        <v>32.94</v>
      </c>
      <c r="K471" t="str">
        <f t="shared" si="23"/>
        <v>ELCNGA</v>
      </c>
    </row>
    <row r="472" spans="3:11" ht="13.2">
      <c r="C472" s="7" t="s">
        <v>8</v>
      </c>
      <c r="D472" s="7">
        <v>2050</v>
      </c>
      <c r="E472" s="7" t="s">
        <v>104</v>
      </c>
      <c r="F472" s="7" t="s">
        <v>9</v>
      </c>
      <c r="G472" s="35" t="s">
        <v>297</v>
      </c>
      <c r="H472" s="38">
        <f t="shared" si="22"/>
        <v>32.94</v>
      </c>
      <c r="I472" s="38">
        <f t="shared" si="21"/>
        <v>32.94</v>
      </c>
      <c r="K472" t="str">
        <f t="shared" si="23"/>
        <v>ELCNGA</v>
      </c>
    </row>
    <row r="473" spans="3:11" ht="13.2">
      <c r="C473" t="s">
        <v>8</v>
      </c>
      <c r="D473">
        <v>2010</v>
      </c>
      <c r="E473" t="s">
        <v>107</v>
      </c>
      <c r="F473" t="s">
        <v>9</v>
      </c>
      <c r="G473" s="30" t="s">
        <v>297</v>
      </c>
      <c r="H473" s="38">
        <f t="shared" si="22"/>
        <v>35.355480573398125</v>
      </c>
      <c r="I473" s="38">
        <f t="shared" si="21"/>
        <v>35.355480573398125</v>
      </c>
      <c r="K473" t="str">
        <f t="shared" si="23"/>
        <v>ELCNGA</v>
      </c>
    </row>
    <row r="474" spans="3:11" ht="13.2">
      <c r="C474" t="s">
        <v>8</v>
      </c>
      <c r="D474">
        <v>2011</v>
      </c>
      <c r="E474" t="s">
        <v>107</v>
      </c>
      <c r="F474" t="s">
        <v>9</v>
      </c>
      <c r="G474" s="30" t="s">
        <v>297</v>
      </c>
      <c r="H474" s="38">
        <f t="shared" si="22"/>
        <v>35.079558172097755</v>
      </c>
      <c r="I474" s="38">
        <f t="shared" si="21"/>
        <v>35.079558172097755</v>
      </c>
      <c r="K474" t="str">
        <f t="shared" si="23"/>
        <v>ELCNGA</v>
      </c>
    </row>
    <row r="475" spans="3:11" ht="13.2">
      <c r="C475" t="s">
        <v>8</v>
      </c>
      <c r="D475">
        <v>2012</v>
      </c>
      <c r="E475" t="s">
        <v>107</v>
      </c>
      <c r="F475" t="s">
        <v>9</v>
      </c>
      <c r="G475" s="30" t="s">
        <v>297</v>
      </c>
      <c r="H475" s="38">
        <f t="shared" si="22"/>
        <v>35.090374720427818</v>
      </c>
      <c r="I475" s="38">
        <f t="shared" si="21"/>
        <v>35.090374720427818</v>
      </c>
      <c r="K475" t="str">
        <f t="shared" si="23"/>
        <v>ELCNGA</v>
      </c>
    </row>
    <row r="476" spans="3:11" ht="13.2">
      <c r="C476" t="s">
        <v>8</v>
      </c>
      <c r="D476">
        <v>2013</v>
      </c>
      <c r="E476" t="s">
        <v>107</v>
      </c>
      <c r="F476" t="s">
        <v>9</v>
      </c>
      <c r="G476" s="30" t="s">
        <v>297</v>
      </c>
      <c r="H476" s="38">
        <f t="shared" si="22"/>
        <v>35.397598889545286</v>
      </c>
      <c r="I476" s="38">
        <f t="shared" si="21"/>
        <v>35.397598889545286</v>
      </c>
      <c r="K476" t="str">
        <f t="shared" si="23"/>
        <v>ELCNGA</v>
      </c>
    </row>
    <row r="477" spans="3:11" ht="13.2">
      <c r="C477" t="s">
        <v>8</v>
      </c>
      <c r="D477">
        <v>2014</v>
      </c>
      <c r="E477" t="s">
        <v>107</v>
      </c>
      <c r="F477" t="s">
        <v>9</v>
      </c>
      <c r="G477" s="30" t="s">
        <v>297</v>
      </c>
      <c r="H477" s="38">
        <f t="shared" si="22"/>
        <v>35.758594704684313</v>
      </c>
      <c r="I477" s="38">
        <f t="shared" si="21"/>
        <v>35.758594704684313</v>
      </c>
      <c r="K477" t="str">
        <f t="shared" si="23"/>
        <v>ELCNGA</v>
      </c>
    </row>
    <row r="478" spans="3:11" ht="13.2">
      <c r="C478" t="s">
        <v>8</v>
      </c>
      <c r="D478">
        <v>2015</v>
      </c>
      <c r="E478" t="s">
        <v>107</v>
      </c>
      <c r="F478" t="s">
        <v>9</v>
      </c>
      <c r="G478" s="30" t="s">
        <v>297</v>
      </c>
      <c r="H478" s="38">
        <f t="shared" si="22"/>
        <v>32.94</v>
      </c>
      <c r="I478" s="38">
        <f t="shared" si="21"/>
        <v>32.94</v>
      </c>
      <c r="K478" t="str">
        <f t="shared" si="23"/>
        <v>ELCNGA</v>
      </c>
    </row>
    <row r="479" spans="3:11" ht="13.2">
      <c r="C479" t="s">
        <v>8</v>
      </c>
      <c r="D479">
        <v>2016</v>
      </c>
      <c r="E479" t="s">
        <v>107</v>
      </c>
      <c r="F479" t="s">
        <v>9</v>
      </c>
      <c r="G479" s="30" t="s">
        <v>297</v>
      </c>
      <c r="H479" s="38">
        <f t="shared" si="22"/>
        <v>32.94</v>
      </c>
      <c r="I479" s="38">
        <f t="shared" si="21"/>
        <v>32.94</v>
      </c>
      <c r="K479" t="str">
        <f t="shared" si="23"/>
        <v>ELCNGA</v>
      </c>
    </row>
    <row r="480" spans="3:11" ht="13.2">
      <c r="C480" t="s">
        <v>8</v>
      </c>
      <c r="D480">
        <v>2017</v>
      </c>
      <c r="E480" t="s">
        <v>107</v>
      </c>
      <c r="F480" t="s">
        <v>9</v>
      </c>
      <c r="G480" s="30" t="s">
        <v>297</v>
      </c>
      <c r="H480" s="38">
        <f t="shared" si="22"/>
        <v>32.94</v>
      </c>
      <c r="I480" s="38">
        <f t="shared" si="21"/>
        <v>32.94</v>
      </c>
      <c r="K480" t="str">
        <f t="shared" si="23"/>
        <v>ELCNGA</v>
      </c>
    </row>
    <row r="481" spans="3:11" ht="13.2">
      <c r="C481" t="s">
        <v>8</v>
      </c>
      <c r="D481">
        <v>2018</v>
      </c>
      <c r="E481" t="s">
        <v>107</v>
      </c>
      <c r="F481" t="s">
        <v>9</v>
      </c>
      <c r="G481" s="30" t="s">
        <v>297</v>
      </c>
      <c r="H481" s="38">
        <f t="shared" si="22"/>
        <v>32.94</v>
      </c>
      <c r="I481" s="38">
        <f t="shared" si="21"/>
        <v>32.94</v>
      </c>
      <c r="K481" t="str">
        <f t="shared" si="23"/>
        <v>ELCNGA</v>
      </c>
    </row>
    <row r="482" spans="3:11" ht="13.2">
      <c r="C482" t="s">
        <v>8</v>
      </c>
      <c r="D482">
        <v>2019</v>
      </c>
      <c r="E482" t="s">
        <v>107</v>
      </c>
      <c r="F482" t="s">
        <v>9</v>
      </c>
      <c r="G482" s="30" t="s">
        <v>297</v>
      </c>
      <c r="H482" s="38">
        <f t="shared" si="22"/>
        <v>32.94</v>
      </c>
      <c r="I482" s="38">
        <f t="shared" si="21"/>
        <v>32.94</v>
      </c>
      <c r="K482" t="str">
        <f t="shared" si="23"/>
        <v>ELCNGA</v>
      </c>
    </row>
    <row r="483" spans="3:11" ht="13.2">
      <c r="C483" t="s">
        <v>8</v>
      </c>
      <c r="D483">
        <v>2020</v>
      </c>
      <c r="E483" t="s">
        <v>107</v>
      </c>
      <c r="F483" t="s">
        <v>9</v>
      </c>
      <c r="G483" s="30" t="s">
        <v>297</v>
      </c>
      <c r="H483" s="38">
        <f t="shared" si="22"/>
        <v>32.94</v>
      </c>
      <c r="I483" s="38">
        <f t="shared" si="21"/>
        <v>32.94</v>
      </c>
      <c r="K483" t="str">
        <f t="shared" si="23"/>
        <v>ELCNGA</v>
      </c>
    </row>
    <row r="484" spans="3:11" ht="13.2">
      <c r="C484" t="s">
        <v>8</v>
      </c>
      <c r="D484">
        <v>2021</v>
      </c>
      <c r="E484" t="s">
        <v>107</v>
      </c>
      <c r="F484" t="s">
        <v>9</v>
      </c>
      <c r="G484" s="30" t="s">
        <v>297</v>
      </c>
      <c r="H484" s="38">
        <f t="shared" si="22"/>
        <v>32.94</v>
      </c>
      <c r="I484" s="38">
        <f t="shared" si="21"/>
        <v>32.94</v>
      </c>
      <c r="K484" t="str">
        <f t="shared" si="23"/>
        <v>ELCNGA</v>
      </c>
    </row>
    <row r="485" spans="3:11" ht="13.2">
      <c r="C485" t="s">
        <v>8</v>
      </c>
      <c r="D485">
        <v>2022</v>
      </c>
      <c r="E485" t="s">
        <v>107</v>
      </c>
      <c r="F485" t="s">
        <v>9</v>
      </c>
      <c r="G485" s="30" t="s">
        <v>297</v>
      </c>
      <c r="H485" s="38">
        <f t="shared" si="22"/>
        <v>32.94</v>
      </c>
      <c r="I485" s="38">
        <f t="shared" si="21"/>
        <v>32.94</v>
      </c>
      <c r="K485" t="str">
        <f t="shared" si="23"/>
        <v>ELCNGA</v>
      </c>
    </row>
    <row r="486" spans="3:11" ht="13.2">
      <c r="C486" t="s">
        <v>8</v>
      </c>
      <c r="D486">
        <v>2023</v>
      </c>
      <c r="E486" t="s">
        <v>107</v>
      </c>
      <c r="F486" t="s">
        <v>9</v>
      </c>
      <c r="G486" s="30" t="s">
        <v>297</v>
      </c>
      <c r="H486" s="38">
        <f t="shared" si="22"/>
        <v>32.94</v>
      </c>
      <c r="I486" s="38">
        <f t="shared" si="21"/>
        <v>32.94</v>
      </c>
      <c r="K486" t="str">
        <f t="shared" si="23"/>
        <v>ELCNGA</v>
      </c>
    </row>
    <row r="487" spans="3:11" ht="13.2">
      <c r="C487" t="s">
        <v>8</v>
      </c>
      <c r="D487">
        <v>2024</v>
      </c>
      <c r="E487" t="s">
        <v>107</v>
      </c>
      <c r="F487" t="s">
        <v>9</v>
      </c>
      <c r="G487" s="30" t="s">
        <v>297</v>
      </c>
      <c r="H487" s="38">
        <f t="shared" si="22"/>
        <v>32.94</v>
      </c>
      <c r="I487" s="38">
        <f t="shared" si="21"/>
        <v>32.94</v>
      </c>
      <c r="K487" t="str">
        <f t="shared" si="23"/>
        <v>ELCNGA</v>
      </c>
    </row>
    <row r="488" spans="3:11" ht="13.2">
      <c r="C488" t="s">
        <v>8</v>
      </c>
      <c r="D488">
        <v>2025</v>
      </c>
      <c r="E488" t="s">
        <v>107</v>
      </c>
      <c r="F488" t="s">
        <v>9</v>
      </c>
      <c r="G488" s="30" t="s">
        <v>297</v>
      </c>
      <c r="H488" s="38">
        <f t="shared" si="22"/>
        <v>32.94</v>
      </c>
      <c r="I488" s="38">
        <f t="shared" si="21"/>
        <v>32.94</v>
      </c>
      <c r="K488" t="str">
        <f t="shared" si="23"/>
        <v>ELCNGA</v>
      </c>
    </row>
    <row r="489" spans="3:11" ht="13.2">
      <c r="C489" t="s">
        <v>8</v>
      </c>
      <c r="D489">
        <v>2026</v>
      </c>
      <c r="E489" t="s">
        <v>107</v>
      </c>
      <c r="F489" t="s">
        <v>9</v>
      </c>
      <c r="G489" s="30" t="s">
        <v>297</v>
      </c>
      <c r="H489" s="38">
        <f t="shared" si="22"/>
        <v>32.94</v>
      </c>
      <c r="I489" s="38">
        <f t="shared" si="21"/>
        <v>32.94</v>
      </c>
      <c r="K489" t="str">
        <f t="shared" si="23"/>
        <v>ELCNGA</v>
      </c>
    </row>
    <row r="490" spans="3:11" ht="13.2">
      <c r="C490" t="s">
        <v>8</v>
      </c>
      <c r="D490">
        <v>2027</v>
      </c>
      <c r="E490" t="s">
        <v>107</v>
      </c>
      <c r="F490" t="s">
        <v>9</v>
      </c>
      <c r="G490" s="30" t="s">
        <v>297</v>
      </c>
      <c r="H490" s="38">
        <f t="shared" si="22"/>
        <v>32.94</v>
      </c>
      <c r="I490" s="38">
        <f t="shared" si="21"/>
        <v>32.94</v>
      </c>
      <c r="K490" t="str">
        <f t="shared" si="23"/>
        <v>ELCNGA</v>
      </c>
    </row>
    <row r="491" spans="3:11" ht="13.2">
      <c r="C491" t="s">
        <v>8</v>
      </c>
      <c r="D491">
        <v>2028</v>
      </c>
      <c r="E491" t="s">
        <v>107</v>
      </c>
      <c r="F491" t="s">
        <v>9</v>
      </c>
      <c r="G491" s="30" t="s">
        <v>297</v>
      </c>
      <c r="H491" s="38">
        <f t="shared" si="22"/>
        <v>32.94</v>
      </c>
      <c r="I491" s="38">
        <f t="shared" si="21"/>
        <v>32.94</v>
      </c>
      <c r="K491" t="str">
        <f t="shared" si="23"/>
        <v>ELCNGA</v>
      </c>
    </row>
    <row r="492" spans="3:11" ht="13.2">
      <c r="C492" t="s">
        <v>8</v>
      </c>
      <c r="D492">
        <v>2029</v>
      </c>
      <c r="E492" t="s">
        <v>107</v>
      </c>
      <c r="F492" t="s">
        <v>9</v>
      </c>
      <c r="G492" s="30" t="s">
        <v>297</v>
      </c>
      <c r="H492" s="38">
        <f t="shared" si="22"/>
        <v>32.94</v>
      </c>
      <c r="I492" s="38">
        <f t="shared" si="21"/>
        <v>32.94</v>
      </c>
      <c r="K492" t="str">
        <f t="shared" si="23"/>
        <v>ELCNGA</v>
      </c>
    </row>
    <row r="493" spans="3:11" ht="13.2">
      <c r="C493" t="s">
        <v>8</v>
      </c>
      <c r="D493">
        <v>2030</v>
      </c>
      <c r="E493" t="s">
        <v>107</v>
      </c>
      <c r="F493" t="s">
        <v>9</v>
      </c>
      <c r="G493" s="30" t="s">
        <v>297</v>
      </c>
      <c r="H493" s="38">
        <f t="shared" si="22"/>
        <v>32.94</v>
      </c>
      <c r="I493" s="38">
        <f t="shared" si="21"/>
        <v>32.94</v>
      </c>
      <c r="K493" t="str">
        <f t="shared" si="23"/>
        <v>ELCNGA</v>
      </c>
    </row>
    <row r="494" spans="3:11" ht="13.2">
      <c r="C494" t="s">
        <v>8</v>
      </c>
      <c r="D494">
        <v>2031</v>
      </c>
      <c r="E494" t="s">
        <v>107</v>
      </c>
      <c r="F494" t="s">
        <v>9</v>
      </c>
      <c r="G494" s="30" t="s">
        <v>297</v>
      </c>
      <c r="H494" s="38">
        <f t="shared" si="22"/>
        <v>32.94</v>
      </c>
      <c r="I494" s="38">
        <f t="shared" si="21"/>
        <v>32.94</v>
      </c>
      <c r="K494" t="str">
        <f t="shared" si="23"/>
        <v>ELCNGA</v>
      </c>
    </row>
    <row r="495" spans="3:11" ht="13.2">
      <c r="C495" t="s">
        <v>8</v>
      </c>
      <c r="D495">
        <v>2032</v>
      </c>
      <c r="E495" t="s">
        <v>107</v>
      </c>
      <c r="F495" t="s">
        <v>9</v>
      </c>
      <c r="G495" s="30" t="s">
        <v>297</v>
      </c>
      <c r="H495" s="38">
        <f t="shared" si="22"/>
        <v>32.94</v>
      </c>
      <c r="I495" s="38">
        <f t="shared" si="21"/>
        <v>32.94</v>
      </c>
      <c r="K495" t="str">
        <f t="shared" si="23"/>
        <v>ELCNGA</v>
      </c>
    </row>
    <row r="496" spans="3:11" ht="13.2">
      <c r="C496" t="s">
        <v>8</v>
      </c>
      <c r="D496">
        <v>2033</v>
      </c>
      <c r="E496" t="s">
        <v>107</v>
      </c>
      <c r="F496" t="s">
        <v>9</v>
      </c>
      <c r="G496" s="30" t="s">
        <v>297</v>
      </c>
      <c r="H496" s="38">
        <f t="shared" si="22"/>
        <v>32.94</v>
      </c>
      <c r="I496" s="38">
        <f t="shared" si="21"/>
        <v>32.94</v>
      </c>
      <c r="K496" t="str">
        <f t="shared" si="23"/>
        <v>ELCNGA</v>
      </c>
    </row>
    <row r="497" spans="3:11" ht="13.2">
      <c r="C497" t="s">
        <v>8</v>
      </c>
      <c r="D497">
        <v>2034</v>
      </c>
      <c r="E497" t="s">
        <v>107</v>
      </c>
      <c r="F497" t="s">
        <v>9</v>
      </c>
      <c r="G497" s="30" t="s">
        <v>297</v>
      </c>
      <c r="H497" s="38">
        <f t="shared" si="22"/>
        <v>32.94</v>
      </c>
      <c r="I497" s="38">
        <f t="shared" si="21"/>
        <v>32.94</v>
      </c>
      <c r="K497" t="str">
        <f t="shared" si="23"/>
        <v>ELCNGA</v>
      </c>
    </row>
    <row r="498" spans="3:11" ht="13.2">
      <c r="C498" t="s">
        <v>8</v>
      </c>
      <c r="D498">
        <v>2035</v>
      </c>
      <c r="E498" t="s">
        <v>107</v>
      </c>
      <c r="F498" t="s">
        <v>9</v>
      </c>
      <c r="G498" s="30" t="s">
        <v>297</v>
      </c>
      <c r="H498" s="38">
        <f t="shared" si="22"/>
        <v>32.94</v>
      </c>
      <c r="I498" s="38">
        <f t="shared" si="21"/>
        <v>32.94</v>
      </c>
      <c r="K498" t="str">
        <f t="shared" si="23"/>
        <v>ELCNGA</v>
      </c>
    </row>
    <row r="499" spans="3:11" ht="13.2">
      <c r="C499" t="s">
        <v>8</v>
      </c>
      <c r="D499">
        <v>2036</v>
      </c>
      <c r="E499" t="s">
        <v>107</v>
      </c>
      <c r="F499" t="s">
        <v>9</v>
      </c>
      <c r="G499" s="30" t="s">
        <v>297</v>
      </c>
      <c r="H499" s="38">
        <f t="shared" si="22"/>
        <v>32.94</v>
      </c>
      <c r="I499" s="38">
        <f t="shared" si="21"/>
        <v>32.94</v>
      </c>
      <c r="K499" t="str">
        <f t="shared" si="23"/>
        <v>ELCNGA</v>
      </c>
    </row>
    <row r="500" spans="3:11" ht="13.2">
      <c r="C500" t="s">
        <v>8</v>
      </c>
      <c r="D500">
        <v>2037</v>
      </c>
      <c r="E500" t="s">
        <v>107</v>
      </c>
      <c r="F500" t="s">
        <v>9</v>
      </c>
      <c r="G500" s="30" t="s">
        <v>297</v>
      </c>
      <c r="H500" s="38">
        <f t="shared" si="22"/>
        <v>32.94</v>
      </c>
      <c r="I500" s="38">
        <f t="shared" si="21"/>
        <v>32.94</v>
      </c>
      <c r="K500" t="str">
        <f t="shared" si="23"/>
        <v>ELCNGA</v>
      </c>
    </row>
    <row r="501" spans="3:11" ht="13.2">
      <c r="C501" t="s">
        <v>8</v>
      </c>
      <c r="D501">
        <v>2038</v>
      </c>
      <c r="E501" t="s">
        <v>107</v>
      </c>
      <c r="F501" t="s">
        <v>9</v>
      </c>
      <c r="G501" s="30" t="s">
        <v>297</v>
      </c>
      <c r="H501" s="38">
        <f t="shared" si="22"/>
        <v>32.94</v>
      </c>
      <c r="I501" s="38">
        <f t="shared" si="21"/>
        <v>32.94</v>
      </c>
      <c r="K501" t="str">
        <f t="shared" si="23"/>
        <v>ELCNGA</v>
      </c>
    </row>
    <row r="502" spans="3:11" ht="13.2">
      <c r="C502" t="s">
        <v>8</v>
      </c>
      <c r="D502">
        <v>2039</v>
      </c>
      <c r="E502" t="s">
        <v>107</v>
      </c>
      <c r="F502" t="s">
        <v>9</v>
      </c>
      <c r="G502" s="30" t="s">
        <v>297</v>
      </c>
      <c r="H502" s="38">
        <f t="shared" si="22"/>
        <v>32.94</v>
      </c>
      <c r="I502" s="38">
        <f t="shared" si="21"/>
        <v>32.94</v>
      </c>
      <c r="K502" t="str">
        <f t="shared" si="23"/>
        <v>ELCNGA</v>
      </c>
    </row>
    <row r="503" spans="3:11" ht="13.2">
      <c r="C503" t="s">
        <v>8</v>
      </c>
      <c r="D503">
        <v>2040</v>
      </c>
      <c r="E503" t="s">
        <v>107</v>
      </c>
      <c r="F503" t="s">
        <v>9</v>
      </c>
      <c r="G503" s="30" t="s">
        <v>297</v>
      </c>
      <c r="H503" s="38">
        <f t="shared" si="22"/>
        <v>32.94</v>
      </c>
      <c r="I503" s="38">
        <f t="shared" si="21"/>
        <v>32.94</v>
      </c>
      <c r="K503" t="str">
        <f t="shared" si="23"/>
        <v>ELCNGA</v>
      </c>
    </row>
    <row r="504" spans="3:11" ht="13.2">
      <c r="C504" t="s">
        <v>8</v>
      </c>
      <c r="D504">
        <v>2041</v>
      </c>
      <c r="E504" t="s">
        <v>107</v>
      </c>
      <c r="F504" t="s">
        <v>9</v>
      </c>
      <c r="G504" s="30" t="s">
        <v>297</v>
      </c>
      <c r="H504" s="38">
        <f t="shared" si="22"/>
        <v>32.94</v>
      </c>
      <c r="I504" s="38">
        <f t="shared" si="21"/>
        <v>32.94</v>
      </c>
      <c r="K504" t="str">
        <f t="shared" si="23"/>
        <v>ELCNGA</v>
      </c>
    </row>
    <row r="505" spans="3:11" ht="13.2">
      <c r="C505" t="s">
        <v>8</v>
      </c>
      <c r="D505">
        <v>2042</v>
      </c>
      <c r="E505" t="s">
        <v>107</v>
      </c>
      <c r="F505" t="s">
        <v>9</v>
      </c>
      <c r="G505" s="30" t="s">
        <v>297</v>
      </c>
      <c r="H505" s="38">
        <f t="shared" si="22"/>
        <v>32.94</v>
      </c>
      <c r="I505" s="38">
        <f t="shared" si="21"/>
        <v>32.94</v>
      </c>
      <c r="K505" t="str">
        <f t="shared" si="23"/>
        <v>ELCNGA</v>
      </c>
    </row>
    <row r="506" spans="3:11" ht="13.2">
      <c r="C506" t="s">
        <v>8</v>
      </c>
      <c r="D506">
        <v>2043</v>
      </c>
      <c r="E506" t="s">
        <v>107</v>
      </c>
      <c r="F506" t="s">
        <v>9</v>
      </c>
      <c r="G506" s="30" t="s">
        <v>297</v>
      </c>
      <c r="H506" s="38">
        <f t="shared" si="22"/>
        <v>32.94</v>
      </c>
      <c r="I506" s="38">
        <f t="shared" si="21"/>
        <v>32.94</v>
      </c>
      <c r="K506" t="str">
        <f t="shared" si="23"/>
        <v>ELCNGA</v>
      </c>
    </row>
    <row r="507" spans="3:11" ht="13.2">
      <c r="C507" t="s">
        <v>8</v>
      </c>
      <c r="D507">
        <v>2044</v>
      </c>
      <c r="E507" t="s">
        <v>107</v>
      </c>
      <c r="F507" t="s">
        <v>9</v>
      </c>
      <c r="G507" s="30" t="s">
        <v>297</v>
      </c>
      <c r="H507" s="38">
        <f t="shared" si="22"/>
        <v>32.94</v>
      </c>
      <c r="I507" s="38">
        <f t="shared" si="21"/>
        <v>32.94</v>
      </c>
      <c r="K507" t="str">
        <f t="shared" si="23"/>
        <v>ELCNGA</v>
      </c>
    </row>
    <row r="508" spans="3:11" ht="13.2">
      <c r="C508" t="s">
        <v>8</v>
      </c>
      <c r="D508">
        <v>2045</v>
      </c>
      <c r="E508" t="s">
        <v>107</v>
      </c>
      <c r="F508" t="s">
        <v>9</v>
      </c>
      <c r="G508" s="30" t="s">
        <v>297</v>
      </c>
      <c r="H508" s="38">
        <f t="shared" si="22"/>
        <v>32.94</v>
      </c>
      <c r="I508" s="38">
        <f t="shared" si="21"/>
        <v>32.94</v>
      </c>
      <c r="K508" t="str">
        <f t="shared" si="23"/>
        <v>ELCNGA</v>
      </c>
    </row>
    <row r="509" spans="3:11" ht="13.2">
      <c r="C509" t="s">
        <v>8</v>
      </c>
      <c r="D509">
        <v>2046</v>
      </c>
      <c r="E509" t="s">
        <v>107</v>
      </c>
      <c r="F509" t="s">
        <v>9</v>
      </c>
      <c r="G509" s="30" t="s">
        <v>297</v>
      </c>
      <c r="H509" s="38">
        <f t="shared" si="22"/>
        <v>32.94</v>
      </c>
      <c r="I509" s="38">
        <f t="shared" si="21"/>
        <v>32.94</v>
      </c>
      <c r="K509" t="str">
        <f t="shared" si="23"/>
        <v>ELCNGA</v>
      </c>
    </row>
    <row r="510" spans="3:11" ht="13.2">
      <c r="C510" t="s">
        <v>8</v>
      </c>
      <c r="D510">
        <v>2047</v>
      </c>
      <c r="E510" t="s">
        <v>107</v>
      </c>
      <c r="F510" t="s">
        <v>9</v>
      </c>
      <c r="G510" s="30" t="s">
        <v>297</v>
      </c>
      <c r="H510" s="38">
        <f t="shared" si="22"/>
        <v>32.94</v>
      </c>
      <c r="I510" s="38">
        <f t="shared" si="21"/>
        <v>32.94</v>
      </c>
      <c r="K510" t="str">
        <f t="shared" si="23"/>
        <v>ELCNGA</v>
      </c>
    </row>
    <row r="511" spans="3:11" ht="13.2">
      <c r="C511" t="s">
        <v>8</v>
      </c>
      <c r="D511">
        <v>2048</v>
      </c>
      <c r="E511" t="s">
        <v>107</v>
      </c>
      <c r="F511" t="s">
        <v>9</v>
      </c>
      <c r="G511" s="30" t="s">
        <v>297</v>
      </c>
      <c r="H511" s="38">
        <f t="shared" si="22"/>
        <v>32.94</v>
      </c>
      <c r="I511" s="38">
        <f t="shared" si="21"/>
        <v>32.94</v>
      </c>
      <c r="K511" t="str">
        <f t="shared" si="23"/>
        <v>ELCNGA</v>
      </c>
    </row>
    <row r="512" spans="3:11" ht="13.2">
      <c r="C512" t="s">
        <v>8</v>
      </c>
      <c r="D512">
        <v>2049</v>
      </c>
      <c r="E512" t="s">
        <v>107</v>
      </c>
      <c r="F512" t="s">
        <v>9</v>
      </c>
      <c r="G512" s="30" t="s">
        <v>297</v>
      </c>
      <c r="H512" s="38">
        <f t="shared" si="22"/>
        <v>32.94</v>
      </c>
      <c r="I512" s="38">
        <f t="shared" ref="I512:I575" si="24">H512</f>
        <v>32.94</v>
      </c>
      <c r="K512" t="str">
        <f t="shared" si="23"/>
        <v>ELCNGA</v>
      </c>
    </row>
    <row r="513" spans="3:11" ht="13.2">
      <c r="C513" t="s">
        <v>8</v>
      </c>
      <c r="D513">
        <v>2050</v>
      </c>
      <c r="E513" t="s">
        <v>107</v>
      </c>
      <c r="F513" t="s">
        <v>9</v>
      </c>
      <c r="G513" s="30" t="s">
        <v>297</v>
      </c>
      <c r="H513" s="38">
        <f t="shared" si="22"/>
        <v>32.94</v>
      </c>
      <c r="I513" s="38">
        <f t="shared" si="24"/>
        <v>32.94</v>
      </c>
      <c r="K513" t="str">
        <f t="shared" si="23"/>
        <v>ELCNGA</v>
      </c>
    </row>
    <row r="514" spans="3:11" ht="13.2">
      <c r="C514" t="s">
        <v>8</v>
      </c>
      <c r="D514">
        <v>2010</v>
      </c>
      <c r="E514" t="s">
        <v>107</v>
      </c>
      <c r="F514" t="s">
        <v>9</v>
      </c>
      <c r="G514" s="30" t="s">
        <v>297</v>
      </c>
      <c r="H514" s="38">
        <f t="shared" si="22"/>
        <v>35.355480573398125</v>
      </c>
      <c r="I514" s="38">
        <f t="shared" si="24"/>
        <v>35.355480573398125</v>
      </c>
      <c r="K514" t="str">
        <f t="shared" si="23"/>
        <v>ELCNGA</v>
      </c>
    </row>
    <row r="515" spans="3:11" ht="13.2">
      <c r="C515" s="7" t="s">
        <v>8</v>
      </c>
      <c r="D515" s="7">
        <v>2011</v>
      </c>
      <c r="E515" s="7" t="s">
        <v>107</v>
      </c>
      <c r="F515" s="7" t="s">
        <v>9</v>
      </c>
      <c r="G515" s="35" t="s">
        <v>297</v>
      </c>
      <c r="H515" s="38">
        <f t="shared" si="22"/>
        <v>35.079558172097755</v>
      </c>
      <c r="I515" s="38">
        <f t="shared" si="24"/>
        <v>35.079558172097755</v>
      </c>
      <c r="K515" t="str">
        <f t="shared" si="23"/>
        <v>ELCNGA</v>
      </c>
    </row>
    <row r="516" spans="3:11" ht="13.2">
      <c r="C516" s="24" t="s">
        <v>8</v>
      </c>
      <c r="D516" s="24">
        <v>2010</v>
      </c>
      <c r="E516" s="24" t="s">
        <v>106</v>
      </c>
      <c r="F516" s="24" t="s">
        <v>101</v>
      </c>
      <c r="G516" s="39" t="s">
        <v>297</v>
      </c>
      <c r="H516" s="38">
        <f t="shared" si="22"/>
        <v>35.729612642957861</v>
      </c>
      <c r="I516" s="38">
        <f t="shared" si="24"/>
        <v>35.729612642957861</v>
      </c>
      <c r="K516" t="str">
        <f t="shared" si="23"/>
        <v>ELCCOA</v>
      </c>
    </row>
    <row r="517" spans="3:11" ht="13.2">
      <c r="C517" s="9" t="s">
        <v>8</v>
      </c>
      <c r="D517" s="9">
        <v>2011</v>
      </c>
      <c r="E517" s="9" t="s">
        <v>106</v>
      </c>
      <c r="F517" s="9" t="s">
        <v>101</v>
      </c>
      <c r="G517" s="30" t="s">
        <v>297</v>
      </c>
      <c r="H517" s="38">
        <f t="shared" si="22"/>
        <v>35.505133401221997</v>
      </c>
      <c r="I517" s="38">
        <f t="shared" si="24"/>
        <v>35.505133401221997</v>
      </c>
      <c r="K517" t="str">
        <f t="shared" si="23"/>
        <v>ELCCOA</v>
      </c>
    </row>
    <row r="518" spans="3:11" ht="13.2">
      <c r="C518" s="9" t="s">
        <v>8</v>
      </c>
      <c r="D518" s="9">
        <v>2012</v>
      </c>
      <c r="E518" s="9" t="s">
        <v>106</v>
      </c>
      <c r="F518" s="9" t="s">
        <v>101</v>
      </c>
      <c r="G518" s="30" t="s">
        <v>297</v>
      </c>
      <c r="H518" s="38">
        <f t="shared" si="22"/>
        <v>35.448439768595456</v>
      </c>
      <c r="I518" s="38">
        <f t="shared" si="24"/>
        <v>35.448439768595456</v>
      </c>
      <c r="K518" t="str">
        <f t="shared" si="23"/>
        <v>ELCCOA</v>
      </c>
    </row>
    <row r="519" spans="3:11" ht="13.2">
      <c r="C519" s="9" t="s">
        <v>8</v>
      </c>
      <c r="D519" s="9">
        <v>2013</v>
      </c>
      <c r="E519" s="9" t="s">
        <v>106</v>
      </c>
      <c r="F519" s="9" t="s">
        <v>101</v>
      </c>
      <c r="G519" s="30" t="s">
        <v>297</v>
      </c>
      <c r="H519" s="38">
        <f t="shared" si="22"/>
        <v>38.801214167386178</v>
      </c>
      <c r="I519" s="38">
        <f t="shared" si="24"/>
        <v>38.801214167386178</v>
      </c>
      <c r="K519" t="str">
        <f t="shared" si="23"/>
        <v>ELCCOA</v>
      </c>
    </row>
    <row r="520" spans="3:11" ht="13.2">
      <c r="C520" s="9" t="s">
        <v>8</v>
      </c>
      <c r="D520" s="9">
        <v>2014</v>
      </c>
      <c r="E520" s="9" t="s">
        <v>106</v>
      </c>
      <c r="F520" s="9" t="s">
        <v>101</v>
      </c>
      <c r="G520" s="30" t="s">
        <v>297</v>
      </c>
      <c r="H520" s="38">
        <f t="shared" si="22"/>
        <v>42.158737270875754</v>
      </c>
      <c r="I520" s="38">
        <f t="shared" si="24"/>
        <v>42.158737270875754</v>
      </c>
      <c r="K520" t="str">
        <f t="shared" si="23"/>
        <v>ELCCOA</v>
      </c>
    </row>
    <row r="521" spans="3:11" ht="13.2">
      <c r="C521" s="9" t="s">
        <v>8</v>
      </c>
      <c r="D521" s="9">
        <v>2015</v>
      </c>
      <c r="E521" s="9" t="s">
        <v>106</v>
      </c>
      <c r="F521" s="9" t="s">
        <v>101</v>
      </c>
      <c r="G521" s="30" t="s">
        <v>297</v>
      </c>
      <c r="H521" s="38">
        <f t="shared" si="22"/>
        <v>32.94</v>
      </c>
      <c r="I521" s="38">
        <f t="shared" si="24"/>
        <v>32.94</v>
      </c>
      <c r="K521" t="str">
        <f t="shared" si="23"/>
        <v>ELCCOA</v>
      </c>
    </row>
    <row r="522" spans="3:11" ht="13.2">
      <c r="C522" s="9" t="s">
        <v>8</v>
      </c>
      <c r="D522" s="9">
        <v>2016</v>
      </c>
      <c r="E522" s="9" t="s">
        <v>106</v>
      </c>
      <c r="F522" s="9" t="s">
        <v>101</v>
      </c>
      <c r="G522" s="30" t="s">
        <v>297</v>
      </c>
      <c r="H522" s="38">
        <f t="shared" si="22"/>
        <v>32.94</v>
      </c>
      <c r="I522" s="38">
        <f t="shared" si="24"/>
        <v>32.94</v>
      </c>
      <c r="K522" t="str">
        <f t="shared" si="23"/>
        <v>ELCCOA</v>
      </c>
    </row>
    <row r="523" spans="3:11" ht="13.2">
      <c r="C523" s="9" t="s">
        <v>8</v>
      </c>
      <c r="D523" s="9">
        <v>2017</v>
      </c>
      <c r="E523" s="9" t="s">
        <v>106</v>
      </c>
      <c r="F523" s="9" t="s">
        <v>101</v>
      </c>
      <c r="G523" s="30" t="s">
        <v>297</v>
      </c>
      <c r="H523" s="38">
        <f t="shared" si="22"/>
        <v>32.94</v>
      </c>
      <c r="I523" s="38">
        <f t="shared" si="24"/>
        <v>32.94</v>
      </c>
      <c r="K523" t="str">
        <f t="shared" si="23"/>
        <v>ELCCOA</v>
      </c>
    </row>
    <row r="524" spans="3:11" ht="13.2">
      <c r="C524" s="9" t="s">
        <v>8</v>
      </c>
      <c r="D524" s="9">
        <v>2018</v>
      </c>
      <c r="E524" s="9" t="s">
        <v>106</v>
      </c>
      <c r="F524" s="9" t="s">
        <v>101</v>
      </c>
      <c r="G524" s="30" t="s">
        <v>297</v>
      </c>
      <c r="H524" s="38">
        <f t="shared" si="22"/>
        <v>32.94</v>
      </c>
      <c r="I524" s="38">
        <f t="shared" si="24"/>
        <v>32.94</v>
      </c>
      <c r="K524" t="str">
        <f t="shared" si="23"/>
        <v>ELCCOA</v>
      </c>
    </row>
    <row r="525" spans="3:11" ht="13.2">
      <c r="C525" s="9" t="s">
        <v>8</v>
      </c>
      <c r="D525" s="9">
        <v>2019</v>
      </c>
      <c r="E525" s="9" t="s">
        <v>106</v>
      </c>
      <c r="F525" s="9" t="s">
        <v>101</v>
      </c>
      <c r="G525" s="30" t="s">
        <v>297</v>
      </c>
      <c r="H525" s="38">
        <f t="shared" si="22"/>
        <v>32.94</v>
      </c>
      <c r="I525" s="38">
        <f t="shared" si="24"/>
        <v>32.94</v>
      </c>
      <c r="K525" t="str">
        <f t="shared" si="23"/>
        <v>ELCCOA</v>
      </c>
    </row>
    <row r="526" spans="3:11" ht="13.2">
      <c r="C526" s="9" t="s">
        <v>8</v>
      </c>
      <c r="D526" s="9">
        <v>2020</v>
      </c>
      <c r="E526" s="9" t="s">
        <v>106</v>
      </c>
      <c r="F526" s="9" t="s">
        <v>101</v>
      </c>
      <c r="G526" s="30" t="s">
        <v>297</v>
      </c>
      <c r="H526" s="38">
        <f t="shared" si="22"/>
        <v>32.94</v>
      </c>
      <c r="I526" s="38">
        <f t="shared" si="24"/>
        <v>32.94</v>
      </c>
      <c r="K526" t="str">
        <f t="shared" si="23"/>
        <v>ELCCOA</v>
      </c>
    </row>
    <row r="527" spans="3:11" ht="13.2">
      <c r="C527" s="9" t="s">
        <v>8</v>
      </c>
      <c r="D527" s="9">
        <v>2021</v>
      </c>
      <c r="E527" s="9" t="s">
        <v>106</v>
      </c>
      <c r="F527" s="9" t="s">
        <v>101</v>
      </c>
      <c r="G527" s="30" t="s">
        <v>297</v>
      </c>
      <c r="H527" s="38">
        <f t="shared" si="22"/>
        <v>32.94</v>
      </c>
      <c r="I527" s="38">
        <f t="shared" si="24"/>
        <v>32.94</v>
      </c>
      <c r="K527" t="str">
        <f t="shared" si="23"/>
        <v>ELCCOA</v>
      </c>
    </row>
    <row r="528" spans="3:11" ht="13.2">
      <c r="C528" s="9" t="s">
        <v>8</v>
      </c>
      <c r="D528" s="9">
        <v>2022</v>
      </c>
      <c r="E528" s="9" t="s">
        <v>106</v>
      </c>
      <c r="F528" s="9" t="s">
        <v>101</v>
      </c>
      <c r="G528" s="30" t="s">
        <v>297</v>
      </c>
      <c r="H528" s="38">
        <f t="shared" si="22"/>
        <v>32.94</v>
      </c>
      <c r="I528" s="38">
        <f t="shared" si="24"/>
        <v>32.94</v>
      </c>
      <c r="K528" t="str">
        <f t="shared" si="23"/>
        <v>ELCCOA</v>
      </c>
    </row>
    <row r="529" spans="3:11" ht="13.2">
      <c r="C529" s="9" t="s">
        <v>8</v>
      </c>
      <c r="D529" s="9">
        <v>2023</v>
      </c>
      <c r="E529" s="9" t="s">
        <v>106</v>
      </c>
      <c r="F529" s="9" t="s">
        <v>101</v>
      </c>
      <c r="G529" s="30" t="s">
        <v>297</v>
      </c>
      <c r="H529" s="38">
        <f t="shared" si="22"/>
        <v>32.94</v>
      </c>
      <c r="I529" s="38">
        <f t="shared" si="24"/>
        <v>32.94</v>
      </c>
      <c r="K529" t="str">
        <f t="shared" si="23"/>
        <v>ELCCOA</v>
      </c>
    </row>
    <row r="530" spans="3:11" ht="13.2">
      <c r="C530" s="9" t="s">
        <v>8</v>
      </c>
      <c r="D530" s="9">
        <v>2024</v>
      </c>
      <c r="E530" s="9" t="s">
        <v>106</v>
      </c>
      <c r="F530" s="9" t="s">
        <v>101</v>
      </c>
      <c r="G530" s="30" t="s">
        <v>297</v>
      </c>
      <c r="H530" s="38">
        <f t="shared" si="22"/>
        <v>32.94</v>
      </c>
      <c r="I530" s="38">
        <f t="shared" si="24"/>
        <v>32.94</v>
      </c>
      <c r="K530" t="str">
        <f t="shared" si="23"/>
        <v>ELCCOA</v>
      </c>
    </row>
    <row r="531" spans="3:11" ht="13.2">
      <c r="C531" s="9" t="s">
        <v>8</v>
      </c>
      <c r="D531" s="9">
        <v>2025</v>
      </c>
      <c r="E531" s="9" t="s">
        <v>106</v>
      </c>
      <c r="F531" s="9" t="s">
        <v>101</v>
      </c>
      <c r="G531" s="30" t="s">
        <v>297</v>
      </c>
      <c r="H531" s="38">
        <f t="shared" si="22"/>
        <v>32.94</v>
      </c>
      <c r="I531" s="38">
        <f t="shared" si="24"/>
        <v>32.94</v>
      </c>
      <c r="K531" t="str">
        <f t="shared" si="23"/>
        <v>ELCCOA</v>
      </c>
    </row>
    <row r="532" spans="3:11" ht="13.2">
      <c r="C532" s="9" t="s">
        <v>8</v>
      </c>
      <c r="D532" s="9">
        <v>2026</v>
      </c>
      <c r="E532" s="9" t="s">
        <v>106</v>
      </c>
      <c r="F532" s="9" t="s">
        <v>101</v>
      </c>
      <c r="G532" s="30" t="s">
        <v>297</v>
      </c>
      <c r="H532" s="38">
        <f t="shared" ref="H532:H595" si="25">HLOOKUP(K532,FuelTax2,D532-2006,FALSE)*$B$10</f>
        <v>32.94</v>
      </c>
      <c r="I532" s="38">
        <f t="shared" si="24"/>
        <v>32.94</v>
      </c>
      <c r="K532" t="str">
        <f t="shared" si="23"/>
        <v>ELCCOA</v>
      </c>
    </row>
    <row r="533" spans="3:11" ht="13.2">
      <c r="C533" s="9" t="s">
        <v>8</v>
      </c>
      <c r="D533" s="9">
        <v>2027</v>
      </c>
      <c r="E533" s="9" t="s">
        <v>106</v>
      </c>
      <c r="F533" s="9" t="s">
        <v>101</v>
      </c>
      <c r="G533" s="30" t="s">
        <v>297</v>
      </c>
      <c r="H533" s="38">
        <f t="shared" si="25"/>
        <v>32.94</v>
      </c>
      <c r="I533" s="38">
        <f t="shared" si="24"/>
        <v>32.94</v>
      </c>
      <c r="K533" t="str">
        <f t="shared" ref="K533:K596" si="26">IF(LEFT(F533,1)="E",F533,"ELC"&amp;F533)</f>
        <v>ELCCOA</v>
      </c>
    </row>
    <row r="534" spans="3:11" ht="13.2">
      <c r="C534" s="9" t="s">
        <v>8</v>
      </c>
      <c r="D534" s="9">
        <v>2028</v>
      </c>
      <c r="E534" s="9" t="s">
        <v>106</v>
      </c>
      <c r="F534" s="9" t="s">
        <v>101</v>
      </c>
      <c r="G534" s="30" t="s">
        <v>297</v>
      </c>
      <c r="H534" s="38">
        <f t="shared" si="25"/>
        <v>32.94</v>
      </c>
      <c r="I534" s="38">
        <f t="shared" si="24"/>
        <v>32.94</v>
      </c>
      <c r="K534" t="str">
        <f t="shared" si="26"/>
        <v>ELCCOA</v>
      </c>
    </row>
    <row r="535" spans="3:11" ht="13.2">
      <c r="C535" s="9" t="s">
        <v>8</v>
      </c>
      <c r="D535" s="9">
        <v>2029</v>
      </c>
      <c r="E535" s="9" t="s">
        <v>106</v>
      </c>
      <c r="F535" s="9" t="s">
        <v>101</v>
      </c>
      <c r="G535" s="30" t="s">
        <v>297</v>
      </c>
      <c r="H535" s="38">
        <f t="shared" si="25"/>
        <v>32.94</v>
      </c>
      <c r="I535" s="38">
        <f t="shared" si="24"/>
        <v>32.94</v>
      </c>
      <c r="K535" t="str">
        <f t="shared" si="26"/>
        <v>ELCCOA</v>
      </c>
    </row>
    <row r="536" spans="3:11" ht="13.2">
      <c r="C536" s="9" t="s">
        <v>8</v>
      </c>
      <c r="D536" s="9">
        <v>2030</v>
      </c>
      <c r="E536" s="9" t="s">
        <v>106</v>
      </c>
      <c r="F536" s="9" t="s">
        <v>101</v>
      </c>
      <c r="G536" s="30" t="s">
        <v>297</v>
      </c>
      <c r="H536" s="38">
        <f t="shared" si="25"/>
        <v>32.94</v>
      </c>
      <c r="I536" s="38">
        <f t="shared" si="24"/>
        <v>32.94</v>
      </c>
      <c r="K536" t="str">
        <f t="shared" si="26"/>
        <v>ELCCOA</v>
      </c>
    </row>
    <row r="537" spans="3:11" ht="13.2">
      <c r="C537" s="9" t="s">
        <v>8</v>
      </c>
      <c r="D537" s="9">
        <v>2031</v>
      </c>
      <c r="E537" s="9" t="s">
        <v>106</v>
      </c>
      <c r="F537" s="9" t="s">
        <v>101</v>
      </c>
      <c r="G537" s="30" t="s">
        <v>297</v>
      </c>
      <c r="H537" s="38">
        <f t="shared" si="25"/>
        <v>32.94</v>
      </c>
      <c r="I537" s="38">
        <f t="shared" si="24"/>
        <v>32.94</v>
      </c>
      <c r="K537" t="str">
        <f t="shared" si="26"/>
        <v>ELCCOA</v>
      </c>
    </row>
    <row r="538" spans="3:11" ht="13.2">
      <c r="C538" s="9" t="s">
        <v>8</v>
      </c>
      <c r="D538" s="9">
        <v>2032</v>
      </c>
      <c r="E538" s="9" t="s">
        <v>106</v>
      </c>
      <c r="F538" s="9" t="s">
        <v>101</v>
      </c>
      <c r="G538" s="30" t="s">
        <v>297</v>
      </c>
      <c r="H538" s="38">
        <f t="shared" si="25"/>
        <v>32.94</v>
      </c>
      <c r="I538" s="38">
        <f t="shared" si="24"/>
        <v>32.94</v>
      </c>
      <c r="K538" t="str">
        <f t="shared" si="26"/>
        <v>ELCCOA</v>
      </c>
    </row>
    <row r="539" spans="3:11" ht="13.2">
      <c r="C539" s="9" t="s">
        <v>8</v>
      </c>
      <c r="D539" s="9">
        <v>2033</v>
      </c>
      <c r="E539" s="9" t="s">
        <v>106</v>
      </c>
      <c r="F539" s="9" t="s">
        <v>101</v>
      </c>
      <c r="G539" s="30" t="s">
        <v>297</v>
      </c>
      <c r="H539" s="38">
        <f t="shared" si="25"/>
        <v>32.94</v>
      </c>
      <c r="I539" s="38">
        <f t="shared" si="24"/>
        <v>32.94</v>
      </c>
      <c r="K539" t="str">
        <f t="shared" si="26"/>
        <v>ELCCOA</v>
      </c>
    </row>
    <row r="540" spans="3:11" ht="13.2">
      <c r="C540" s="9" t="s">
        <v>8</v>
      </c>
      <c r="D540" s="9">
        <v>2034</v>
      </c>
      <c r="E540" s="9" t="s">
        <v>106</v>
      </c>
      <c r="F540" s="9" t="s">
        <v>101</v>
      </c>
      <c r="G540" s="30" t="s">
        <v>297</v>
      </c>
      <c r="H540" s="38">
        <f t="shared" si="25"/>
        <v>32.94</v>
      </c>
      <c r="I540" s="38">
        <f t="shared" si="24"/>
        <v>32.94</v>
      </c>
      <c r="K540" t="str">
        <f t="shared" si="26"/>
        <v>ELCCOA</v>
      </c>
    </row>
    <row r="541" spans="3:11" ht="13.2">
      <c r="C541" s="9" t="s">
        <v>8</v>
      </c>
      <c r="D541" s="9">
        <v>2035</v>
      </c>
      <c r="E541" s="9" t="s">
        <v>106</v>
      </c>
      <c r="F541" s="9" t="s">
        <v>101</v>
      </c>
      <c r="G541" s="30" t="s">
        <v>297</v>
      </c>
      <c r="H541" s="38">
        <f t="shared" si="25"/>
        <v>32.94</v>
      </c>
      <c r="I541" s="38">
        <f t="shared" si="24"/>
        <v>32.94</v>
      </c>
      <c r="K541" t="str">
        <f t="shared" si="26"/>
        <v>ELCCOA</v>
      </c>
    </row>
    <row r="542" spans="3:11" ht="13.2">
      <c r="C542" s="9" t="s">
        <v>8</v>
      </c>
      <c r="D542" s="9">
        <v>2036</v>
      </c>
      <c r="E542" s="9" t="s">
        <v>106</v>
      </c>
      <c r="F542" s="9" t="s">
        <v>101</v>
      </c>
      <c r="G542" s="30" t="s">
        <v>297</v>
      </c>
      <c r="H542" s="38">
        <f t="shared" si="25"/>
        <v>32.94</v>
      </c>
      <c r="I542" s="38">
        <f t="shared" si="24"/>
        <v>32.94</v>
      </c>
      <c r="K542" t="str">
        <f t="shared" si="26"/>
        <v>ELCCOA</v>
      </c>
    </row>
    <row r="543" spans="3:11" ht="13.2">
      <c r="C543" s="9" t="s">
        <v>8</v>
      </c>
      <c r="D543" s="9">
        <v>2037</v>
      </c>
      <c r="E543" s="9" t="s">
        <v>106</v>
      </c>
      <c r="F543" s="9" t="s">
        <v>101</v>
      </c>
      <c r="G543" s="30" t="s">
        <v>297</v>
      </c>
      <c r="H543" s="38">
        <f t="shared" si="25"/>
        <v>32.94</v>
      </c>
      <c r="I543" s="38">
        <f t="shared" si="24"/>
        <v>32.94</v>
      </c>
      <c r="K543" t="str">
        <f t="shared" si="26"/>
        <v>ELCCOA</v>
      </c>
    </row>
    <row r="544" spans="3:11" ht="13.2">
      <c r="C544" s="9" t="s">
        <v>8</v>
      </c>
      <c r="D544" s="9">
        <v>2038</v>
      </c>
      <c r="E544" s="9" t="s">
        <v>106</v>
      </c>
      <c r="F544" s="9" t="s">
        <v>101</v>
      </c>
      <c r="G544" s="30" t="s">
        <v>297</v>
      </c>
      <c r="H544" s="38">
        <f t="shared" si="25"/>
        <v>32.94</v>
      </c>
      <c r="I544" s="38">
        <f t="shared" si="24"/>
        <v>32.94</v>
      </c>
      <c r="K544" t="str">
        <f t="shared" si="26"/>
        <v>ELCCOA</v>
      </c>
    </row>
    <row r="545" spans="3:11" ht="13.2">
      <c r="C545" s="9" t="s">
        <v>8</v>
      </c>
      <c r="D545" s="9">
        <v>2039</v>
      </c>
      <c r="E545" s="9" t="s">
        <v>106</v>
      </c>
      <c r="F545" s="9" t="s">
        <v>101</v>
      </c>
      <c r="G545" s="30" t="s">
        <v>297</v>
      </c>
      <c r="H545" s="38">
        <f t="shared" si="25"/>
        <v>32.94</v>
      </c>
      <c r="I545" s="38">
        <f t="shared" si="24"/>
        <v>32.94</v>
      </c>
      <c r="K545" t="str">
        <f t="shared" si="26"/>
        <v>ELCCOA</v>
      </c>
    </row>
    <row r="546" spans="3:11" ht="13.2">
      <c r="C546" s="9" t="s">
        <v>8</v>
      </c>
      <c r="D546" s="9">
        <v>2040</v>
      </c>
      <c r="E546" s="9" t="s">
        <v>106</v>
      </c>
      <c r="F546" s="9" t="s">
        <v>101</v>
      </c>
      <c r="G546" s="30" t="s">
        <v>297</v>
      </c>
      <c r="H546" s="38">
        <f t="shared" si="25"/>
        <v>32.94</v>
      </c>
      <c r="I546" s="38">
        <f t="shared" si="24"/>
        <v>32.94</v>
      </c>
      <c r="K546" t="str">
        <f t="shared" si="26"/>
        <v>ELCCOA</v>
      </c>
    </row>
    <row r="547" spans="3:11" ht="13.2">
      <c r="C547" s="9" t="s">
        <v>8</v>
      </c>
      <c r="D547" s="9">
        <v>2041</v>
      </c>
      <c r="E547" s="9" t="s">
        <v>106</v>
      </c>
      <c r="F547" s="9" t="s">
        <v>101</v>
      </c>
      <c r="G547" s="30" t="s">
        <v>297</v>
      </c>
      <c r="H547" s="38">
        <f t="shared" si="25"/>
        <v>32.94</v>
      </c>
      <c r="I547" s="38">
        <f t="shared" si="24"/>
        <v>32.94</v>
      </c>
      <c r="K547" t="str">
        <f t="shared" si="26"/>
        <v>ELCCOA</v>
      </c>
    </row>
    <row r="548" spans="3:11" ht="13.2">
      <c r="C548" s="9" t="s">
        <v>8</v>
      </c>
      <c r="D548" s="9">
        <v>2042</v>
      </c>
      <c r="E548" s="9" t="s">
        <v>106</v>
      </c>
      <c r="F548" s="9" t="s">
        <v>101</v>
      </c>
      <c r="G548" s="30" t="s">
        <v>297</v>
      </c>
      <c r="H548" s="38">
        <f t="shared" si="25"/>
        <v>32.94</v>
      </c>
      <c r="I548" s="38">
        <f t="shared" si="24"/>
        <v>32.94</v>
      </c>
      <c r="K548" t="str">
        <f t="shared" si="26"/>
        <v>ELCCOA</v>
      </c>
    </row>
    <row r="549" spans="3:11" ht="13.2">
      <c r="C549" s="9" t="s">
        <v>8</v>
      </c>
      <c r="D549" s="9">
        <v>2043</v>
      </c>
      <c r="E549" s="9" t="s">
        <v>106</v>
      </c>
      <c r="F549" s="9" t="s">
        <v>101</v>
      </c>
      <c r="G549" s="30" t="s">
        <v>297</v>
      </c>
      <c r="H549" s="38">
        <f t="shared" si="25"/>
        <v>32.94</v>
      </c>
      <c r="I549" s="38">
        <f t="shared" si="24"/>
        <v>32.94</v>
      </c>
      <c r="K549" t="str">
        <f t="shared" si="26"/>
        <v>ELCCOA</v>
      </c>
    </row>
    <row r="550" spans="3:11" ht="13.2">
      <c r="C550" s="9" t="s">
        <v>8</v>
      </c>
      <c r="D550" s="9">
        <v>2044</v>
      </c>
      <c r="E550" s="9" t="s">
        <v>106</v>
      </c>
      <c r="F550" s="9" t="s">
        <v>101</v>
      </c>
      <c r="G550" s="30" t="s">
        <v>297</v>
      </c>
      <c r="H550" s="38">
        <f t="shared" si="25"/>
        <v>32.94</v>
      </c>
      <c r="I550" s="38">
        <f t="shared" si="24"/>
        <v>32.94</v>
      </c>
      <c r="K550" t="str">
        <f t="shared" si="26"/>
        <v>ELCCOA</v>
      </c>
    </row>
    <row r="551" spans="3:11" ht="13.2">
      <c r="C551" s="9" t="s">
        <v>8</v>
      </c>
      <c r="D551" s="9">
        <v>2045</v>
      </c>
      <c r="E551" s="9" t="s">
        <v>106</v>
      </c>
      <c r="F551" s="9" t="s">
        <v>101</v>
      </c>
      <c r="G551" s="30" t="s">
        <v>297</v>
      </c>
      <c r="H551" s="38">
        <f t="shared" si="25"/>
        <v>32.94</v>
      </c>
      <c r="I551" s="38">
        <f t="shared" si="24"/>
        <v>32.94</v>
      </c>
      <c r="K551" t="str">
        <f t="shared" si="26"/>
        <v>ELCCOA</v>
      </c>
    </row>
    <row r="552" spans="3:11" ht="13.2">
      <c r="C552" s="9" t="s">
        <v>8</v>
      </c>
      <c r="D552" s="9">
        <v>2046</v>
      </c>
      <c r="E552" s="9" t="s">
        <v>106</v>
      </c>
      <c r="F552" s="9" t="s">
        <v>101</v>
      </c>
      <c r="G552" s="30" t="s">
        <v>297</v>
      </c>
      <c r="H552" s="38">
        <f t="shared" si="25"/>
        <v>32.94</v>
      </c>
      <c r="I552" s="38">
        <f t="shared" si="24"/>
        <v>32.94</v>
      </c>
      <c r="K552" t="str">
        <f t="shared" si="26"/>
        <v>ELCCOA</v>
      </c>
    </row>
    <row r="553" spans="3:11" ht="13.2">
      <c r="C553" s="9" t="s">
        <v>8</v>
      </c>
      <c r="D553" s="9">
        <v>2047</v>
      </c>
      <c r="E553" s="9" t="s">
        <v>106</v>
      </c>
      <c r="F553" s="9" t="s">
        <v>101</v>
      </c>
      <c r="G553" s="30" t="s">
        <v>297</v>
      </c>
      <c r="H553" s="38">
        <f t="shared" si="25"/>
        <v>32.94</v>
      </c>
      <c r="I553" s="38">
        <f t="shared" si="24"/>
        <v>32.94</v>
      </c>
      <c r="K553" t="str">
        <f t="shared" si="26"/>
        <v>ELCCOA</v>
      </c>
    </row>
    <row r="554" spans="3:11" ht="13.2">
      <c r="C554" s="9" t="s">
        <v>8</v>
      </c>
      <c r="D554" s="9">
        <v>2048</v>
      </c>
      <c r="E554" s="9" t="s">
        <v>106</v>
      </c>
      <c r="F554" s="9" t="s">
        <v>101</v>
      </c>
      <c r="G554" s="30" t="s">
        <v>297</v>
      </c>
      <c r="H554" s="38">
        <f t="shared" si="25"/>
        <v>32.94</v>
      </c>
      <c r="I554" s="38">
        <f t="shared" si="24"/>
        <v>32.94</v>
      </c>
      <c r="K554" t="str">
        <f t="shared" si="26"/>
        <v>ELCCOA</v>
      </c>
    </row>
    <row r="555" spans="3:11" ht="13.2">
      <c r="C555" s="9" t="s">
        <v>8</v>
      </c>
      <c r="D555" s="9">
        <v>2049</v>
      </c>
      <c r="E555" s="9" t="s">
        <v>106</v>
      </c>
      <c r="F555" s="9" t="s">
        <v>101</v>
      </c>
      <c r="G555" s="30" t="s">
        <v>297</v>
      </c>
      <c r="H555" s="38">
        <f t="shared" si="25"/>
        <v>32.94</v>
      </c>
      <c r="I555" s="38">
        <f t="shared" si="24"/>
        <v>32.94</v>
      </c>
      <c r="K555" t="str">
        <f t="shared" si="26"/>
        <v>ELCCOA</v>
      </c>
    </row>
    <row r="556" spans="3:11" ht="13.2">
      <c r="C556" s="7" t="s">
        <v>8</v>
      </c>
      <c r="D556" s="7">
        <v>2050</v>
      </c>
      <c r="E556" s="7" t="s">
        <v>106</v>
      </c>
      <c r="F556" s="7" t="s">
        <v>101</v>
      </c>
      <c r="G556" s="35" t="s">
        <v>297</v>
      </c>
      <c r="H556" s="38">
        <f t="shared" si="25"/>
        <v>32.94</v>
      </c>
      <c r="I556" s="38">
        <f t="shared" si="24"/>
        <v>32.94</v>
      </c>
      <c r="K556" t="str">
        <f t="shared" si="26"/>
        <v>ELCCOA</v>
      </c>
    </row>
    <row r="557" spans="3:11" ht="13.2">
      <c r="C557" s="24" t="s">
        <v>8</v>
      </c>
      <c r="D557" s="24">
        <v>2010</v>
      </c>
      <c r="E557" s="24" t="s">
        <v>100</v>
      </c>
      <c r="F557" s="24" t="s">
        <v>101</v>
      </c>
      <c r="G557" s="39" t="s">
        <v>297</v>
      </c>
      <c r="H557" s="38">
        <f t="shared" si="25"/>
        <v>35.729612642957861</v>
      </c>
      <c r="I557" s="38">
        <f t="shared" si="24"/>
        <v>35.729612642957861</v>
      </c>
      <c r="K557" t="str">
        <f t="shared" si="26"/>
        <v>ELCCOA</v>
      </c>
    </row>
    <row r="558" spans="3:11" ht="13.2">
      <c r="C558" s="9" t="s">
        <v>8</v>
      </c>
      <c r="D558" s="9">
        <v>2011</v>
      </c>
      <c r="E558" s="9" t="s">
        <v>100</v>
      </c>
      <c r="F558" s="9" t="s">
        <v>101</v>
      </c>
      <c r="G558" s="30" t="s">
        <v>297</v>
      </c>
      <c r="H558" s="38">
        <f t="shared" si="25"/>
        <v>35.505133401221997</v>
      </c>
      <c r="I558" s="38">
        <f t="shared" si="24"/>
        <v>35.505133401221997</v>
      </c>
      <c r="K558" t="str">
        <f t="shared" si="26"/>
        <v>ELCCOA</v>
      </c>
    </row>
    <row r="559" spans="3:11" ht="13.2">
      <c r="C559" s="9" t="s">
        <v>8</v>
      </c>
      <c r="D559" s="9">
        <v>2012</v>
      </c>
      <c r="E559" s="9" t="s">
        <v>100</v>
      </c>
      <c r="F559" s="9" t="s">
        <v>101</v>
      </c>
      <c r="G559" s="30" t="s">
        <v>297</v>
      </c>
      <c r="H559" s="38">
        <f t="shared" si="25"/>
        <v>35.448439768595456</v>
      </c>
      <c r="I559" s="38">
        <f t="shared" si="24"/>
        <v>35.448439768595456</v>
      </c>
      <c r="K559" t="str">
        <f t="shared" si="26"/>
        <v>ELCCOA</v>
      </c>
    </row>
    <row r="560" spans="3:11" ht="13.2">
      <c r="C560" s="9" t="s">
        <v>8</v>
      </c>
      <c r="D560" s="9">
        <v>2013</v>
      </c>
      <c r="E560" s="9" t="s">
        <v>100</v>
      </c>
      <c r="F560" s="9" t="s">
        <v>101</v>
      </c>
      <c r="G560" s="30" t="s">
        <v>297</v>
      </c>
      <c r="H560" s="38">
        <f t="shared" si="25"/>
        <v>38.801214167386178</v>
      </c>
      <c r="I560" s="38">
        <f t="shared" si="24"/>
        <v>38.801214167386178</v>
      </c>
      <c r="K560" t="str">
        <f t="shared" si="26"/>
        <v>ELCCOA</v>
      </c>
    </row>
    <row r="561" spans="3:11" ht="13.2">
      <c r="C561" s="9" t="s">
        <v>8</v>
      </c>
      <c r="D561" s="9">
        <v>2014</v>
      </c>
      <c r="E561" s="9" t="s">
        <v>100</v>
      </c>
      <c r="F561" s="9" t="s">
        <v>101</v>
      </c>
      <c r="G561" s="30" t="s">
        <v>297</v>
      </c>
      <c r="H561" s="38">
        <f t="shared" si="25"/>
        <v>42.158737270875754</v>
      </c>
      <c r="I561" s="38">
        <f t="shared" si="24"/>
        <v>42.158737270875754</v>
      </c>
      <c r="K561" t="str">
        <f t="shared" si="26"/>
        <v>ELCCOA</v>
      </c>
    </row>
    <row r="562" spans="3:11" ht="13.2">
      <c r="C562" s="9" t="s">
        <v>8</v>
      </c>
      <c r="D562" s="9">
        <v>2015</v>
      </c>
      <c r="E562" s="9" t="s">
        <v>100</v>
      </c>
      <c r="F562" s="9" t="s">
        <v>101</v>
      </c>
      <c r="G562" s="30" t="s">
        <v>297</v>
      </c>
      <c r="H562" s="38">
        <f t="shared" si="25"/>
        <v>32.94</v>
      </c>
      <c r="I562" s="38">
        <f t="shared" si="24"/>
        <v>32.94</v>
      </c>
      <c r="K562" t="str">
        <f t="shared" si="26"/>
        <v>ELCCOA</v>
      </c>
    </row>
    <row r="563" spans="3:11" ht="13.2">
      <c r="C563" s="9" t="s">
        <v>8</v>
      </c>
      <c r="D563" s="9">
        <v>2016</v>
      </c>
      <c r="E563" s="9" t="s">
        <v>100</v>
      </c>
      <c r="F563" s="9" t="s">
        <v>101</v>
      </c>
      <c r="G563" s="30" t="s">
        <v>297</v>
      </c>
      <c r="H563" s="38">
        <f t="shared" si="25"/>
        <v>32.94</v>
      </c>
      <c r="I563" s="38">
        <f t="shared" si="24"/>
        <v>32.94</v>
      </c>
      <c r="K563" t="str">
        <f t="shared" si="26"/>
        <v>ELCCOA</v>
      </c>
    </row>
    <row r="564" spans="3:11" ht="13.2">
      <c r="C564" s="9" t="s">
        <v>8</v>
      </c>
      <c r="D564" s="9">
        <v>2017</v>
      </c>
      <c r="E564" s="9" t="s">
        <v>100</v>
      </c>
      <c r="F564" s="9" t="s">
        <v>101</v>
      </c>
      <c r="G564" s="30" t="s">
        <v>297</v>
      </c>
      <c r="H564" s="38">
        <f t="shared" si="25"/>
        <v>32.94</v>
      </c>
      <c r="I564" s="38">
        <f t="shared" si="24"/>
        <v>32.94</v>
      </c>
      <c r="K564" t="str">
        <f t="shared" si="26"/>
        <v>ELCCOA</v>
      </c>
    </row>
    <row r="565" spans="3:11" ht="13.2">
      <c r="C565" s="9" t="s">
        <v>8</v>
      </c>
      <c r="D565" s="9">
        <v>2018</v>
      </c>
      <c r="E565" s="9" t="s">
        <v>100</v>
      </c>
      <c r="F565" s="9" t="s">
        <v>101</v>
      </c>
      <c r="G565" s="30" t="s">
        <v>297</v>
      </c>
      <c r="H565" s="38">
        <f t="shared" si="25"/>
        <v>32.94</v>
      </c>
      <c r="I565" s="38">
        <f t="shared" si="24"/>
        <v>32.94</v>
      </c>
      <c r="K565" t="str">
        <f t="shared" si="26"/>
        <v>ELCCOA</v>
      </c>
    </row>
    <row r="566" spans="3:11" ht="13.2">
      <c r="C566" s="9" t="s">
        <v>8</v>
      </c>
      <c r="D566" s="9">
        <v>2019</v>
      </c>
      <c r="E566" s="9" t="s">
        <v>100</v>
      </c>
      <c r="F566" s="9" t="s">
        <v>101</v>
      </c>
      <c r="G566" s="30" t="s">
        <v>297</v>
      </c>
      <c r="H566" s="38">
        <f t="shared" si="25"/>
        <v>32.94</v>
      </c>
      <c r="I566" s="38">
        <f t="shared" si="24"/>
        <v>32.94</v>
      </c>
      <c r="K566" t="str">
        <f t="shared" si="26"/>
        <v>ELCCOA</v>
      </c>
    </row>
    <row r="567" spans="3:11" ht="13.2">
      <c r="C567" s="9" t="s">
        <v>8</v>
      </c>
      <c r="D567" s="9">
        <v>2020</v>
      </c>
      <c r="E567" s="9" t="s">
        <v>100</v>
      </c>
      <c r="F567" s="9" t="s">
        <v>101</v>
      </c>
      <c r="G567" s="30" t="s">
        <v>297</v>
      </c>
      <c r="H567" s="38">
        <f t="shared" si="25"/>
        <v>32.94</v>
      </c>
      <c r="I567" s="38">
        <f t="shared" si="24"/>
        <v>32.94</v>
      </c>
      <c r="K567" t="str">
        <f t="shared" si="26"/>
        <v>ELCCOA</v>
      </c>
    </row>
    <row r="568" spans="3:11" ht="13.2">
      <c r="C568" s="9" t="s">
        <v>8</v>
      </c>
      <c r="D568" s="9">
        <v>2021</v>
      </c>
      <c r="E568" s="9" t="s">
        <v>100</v>
      </c>
      <c r="F568" s="9" t="s">
        <v>101</v>
      </c>
      <c r="G568" s="30" t="s">
        <v>297</v>
      </c>
      <c r="H568" s="38">
        <f t="shared" si="25"/>
        <v>32.94</v>
      </c>
      <c r="I568" s="38">
        <f t="shared" si="24"/>
        <v>32.94</v>
      </c>
      <c r="K568" t="str">
        <f t="shared" si="26"/>
        <v>ELCCOA</v>
      </c>
    </row>
    <row r="569" spans="3:11" ht="13.2">
      <c r="C569" s="9" t="s">
        <v>8</v>
      </c>
      <c r="D569" s="9">
        <v>2022</v>
      </c>
      <c r="E569" s="9" t="s">
        <v>100</v>
      </c>
      <c r="F569" s="9" t="s">
        <v>101</v>
      </c>
      <c r="G569" s="30" t="s">
        <v>297</v>
      </c>
      <c r="H569" s="38">
        <f t="shared" si="25"/>
        <v>32.94</v>
      </c>
      <c r="I569" s="38">
        <f t="shared" si="24"/>
        <v>32.94</v>
      </c>
      <c r="K569" t="str">
        <f t="shared" si="26"/>
        <v>ELCCOA</v>
      </c>
    </row>
    <row r="570" spans="3:11" ht="13.2">
      <c r="C570" s="9" t="s">
        <v>8</v>
      </c>
      <c r="D570" s="9">
        <v>2023</v>
      </c>
      <c r="E570" s="9" t="s">
        <v>100</v>
      </c>
      <c r="F570" s="9" t="s">
        <v>101</v>
      </c>
      <c r="G570" s="30" t="s">
        <v>297</v>
      </c>
      <c r="H570" s="38">
        <f t="shared" si="25"/>
        <v>32.94</v>
      </c>
      <c r="I570" s="38">
        <f t="shared" si="24"/>
        <v>32.94</v>
      </c>
      <c r="K570" t="str">
        <f t="shared" si="26"/>
        <v>ELCCOA</v>
      </c>
    </row>
    <row r="571" spans="3:11" ht="13.2">
      <c r="C571" s="9" t="s">
        <v>8</v>
      </c>
      <c r="D571" s="9">
        <v>2024</v>
      </c>
      <c r="E571" s="9" t="s">
        <v>100</v>
      </c>
      <c r="F571" s="9" t="s">
        <v>101</v>
      </c>
      <c r="G571" s="30" t="s">
        <v>297</v>
      </c>
      <c r="H571" s="38">
        <f t="shared" si="25"/>
        <v>32.94</v>
      </c>
      <c r="I571" s="38">
        <f t="shared" si="24"/>
        <v>32.94</v>
      </c>
      <c r="K571" t="str">
        <f t="shared" si="26"/>
        <v>ELCCOA</v>
      </c>
    </row>
    <row r="572" spans="3:11" ht="13.2">
      <c r="C572" s="9" t="s">
        <v>8</v>
      </c>
      <c r="D572" s="9">
        <v>2025</v>
      </c>
      <c r="E572" s="9" t="s">
        <v>100</v>
      </c>
      <c r="F572" s="9" t="s">
        <v>101</v>
      </c>
      <c r="G572" s="30" t="s">
        <v>297</v>
      </c>
      <c r="H572" s="38">
        <f t="shared" si="25"/>
        <v>32.94</v>
      </c>
      <c r="I572" s="38">
        <f t="shared" si="24"/>
        <v>32.94</v>
      </c>
      <c r="K572" t="str">
        <f t="shared" si="26"/>
        <v>ELCCOA</v>
      </c>
    </row>
    <row r="573" spans="3:11" ht="13.2">
      <c r="C573" s="9" t="s">
        <v>8</v>
      </c>
      <c r="D573" s="9">
        <v>2026</v>
      </c>
      <c r="E573" s="9" t="s">
        <v>100</v>
      </c>
      <c r="F573" s="9" t="s">
        <v>101</v>
      </c>
      <c r="G573" s="30" t="s">
        <v>297</v>
      </c>
      <c r="H573" s="38">
        <f t="shared" si="25"/>
        <v>32.94</v>
      </c>
      <c r="I573" s="38">
        <f t="shared" si="24"/>
        <v>32.94</v>
      </c>
      <c r="K573" t="str">
        <f t="shared" si="26"/>
        <v>ELCCOA</v>
      </c>
    </row>
    <row r="574" spans="3:11" ht="13.2">
      <c r="C574" s="9" t="s">
        <v>8</v>
      </c>
      <c r="D574" s="9">
        <v>2027</v>
      </c>
      <c r="E574" s="9" t="s">
        <v>100</v>
      </c>
      <c r="F574" s="9" t="s">
        <v>101</v>
      </c>
      <c r="G574" s="30" t="s">
        <v>297</v>
      </c>
      <c r="H574" s="38">
        <f t="shared" si="25"/>
        <v>32.94</v>
      </c>
      <c r="I574" s="38">
        <f t="shared" si="24"/>
        <v>32.94</v>
      </c>
      <c r="K574" t="str">
        <f t="shared" si="26"/>
        <v>ELCCOA</v>
      </c>
    </row>
    <row r="575" spans="3:11" ht="13.2">
      <c r="C575" s="9" t="s">
        <v>8</v>
      </c>
      <c r="D575" s="9">
        <v>2028</v>
      </c>
      <c r="E575" s="9" t="s">
        <v>100</v>
      </c>
      <c r="F575" s="9" t="s">
        <v>101</v>
      </c>
      <c r="G575" s="30" t="s">
        <v>297</v>
      </c>
      <c r="H575" s="38">
        <f t="shared" si="25"/>
        <v>32.94</v>
      </c>
      <c r="I575" s="38">
        <f t="shared" si="24"/>
        <v>32.94</v>
      </c>
      <c r="K575" t="str">
        <f t="shared" si="26"/>
        <v>ELCCOA</v>
      </c>
    </row>
    <row r="576" spans="3:11" ht="13.2">
      <c r="C576" s="9" t="s">
        <v>8</v>
      </c>
      <c r="D576" s="9">
        <v>2029</v>
      </c>
      <c r="E576" s="9" t="s">
        <v>100</v>
      </c>
      <c r="F576" s="9" t="s">
        <v>101</v>
      </c>
      <c r="G576" s="30" t="s">
        <v>297</v>
      </c>
      <c r="H576" s="38">
        <f t="shared" si="25"/>
        <v>32.94</v>
      </c>
      <c r="I576" s="38">
        <f t="shared" ref="I576:I639" si="27">H576</f>
        <v>32.94</v>
      </c>
      <c r="K576" t="str">
        <f t="shared" si="26"/>
        <v>ELCCOA</v>
      </c>
    </row>
    <row r="577" spans="3:11" ht="13.2">
      <c r="C577" s="9" t="s">
        <v>8</v>
      </c>
      <c r="D577" s="9">
        <v>2030</v>
      </c>
      <c r="E577" s="9" t="s">
        <v>100</v>
      </c>
      <c r="F577" s="9" t="s">
        <v>101</v>
      </c>
      <c r="G577" s="30" t="s">
        <v>297</v>
      </c>
      <c r="H577" s="38">
        <f t="shared" si="25"/>
        <v>32.94</v>
      </c>
      <c r="I577" s="38">
        <f t="shared" si="27"/>
        <v>32.94</v>
      </c>
      <c r="K577" t="str">
        <f t="shared" si="26"/>
        <v>ELCCOA</v>
      </c>
    </row>
    <row r="578" spans="3:11" ht="13.2">
      <c r="C578" s="9" t="s">
        <v>8</v>
      </c>
      <c r="D578" s="9">
        <v>2031</v>
      </c>
      <c r="E578" s="9" t="s">
        <v>100</v>
      </c>
      <c r="F578" s="9" t="s">
        <v>101</v>
      </c>
      <c r="G578" s="30" t="s">
        <v>297</v>
      </c>
      <c r="H578" s="38">
        <f t="shared" si="25"/>
        <v>32.94</v>
      </c>
      <c r="I578" s="38">
        <f t="shared" si="27"/>
        <v>32.94</v>
      </c>
      <c r="K578" t="str">
        <f t="shared" si="26"/>
        <v>ELCCOA</v>
      </c>
    </row>
    <row r="579" spans="3:11" ht="13.2">
      <c r="C579" s="9" t="s">
        <v>8</v>
      </c>
      <c r="D579" s="9">
        <v>2032</v>
      </c>
      <c r="E579" s="9" t="s">
        <v>100</v>
      </c>
      <c r="F579" s="9" t="s">
        <v>101</v>
      </c>
      <c r="G579" s="30" t="s">
        <v>297</v>
      </c>
      <c r="H579" s="38">
        <f t="shared" si="25"/>
        <v>32.94</v>
      </c>
      <c r="I579" s="38">
        <f t="shared" si="27"/>
        <v>32.94</v>
      </c>
      <c r="K579" t="str">
        <f t="shared" si="26"/>
        <v>ELCCOA</v>
      </c>
    </row>
    <row r="580" spans="3:11" ht="13.2">
      <c r="C580" s="9" t="s">
        <v>8</v>
      </c>
      <c r="D580" s="9">
        <v>2033</v>
      </c>
      <c r="E580" s="9" t="s">
        <v>100</v>
      </c>
      <c r="F580" s="9" t="s">
        <v>101</v>
      </c>
      <c r="G580" s="30" t="s">
        <v>297</v>
      </c>
      <c r="H580" s="38">
        <f t="shared" si="25"/>
        <v>32.94</v>
      </c>
      <c r="I580" s="38">
        <f t="shared" si="27"/>
        <v>32.94</v>
      </c>
      <c r="K580" t="str">
        <f t="shared" si="26"/>
        <v>ELCCOA</v>
      </c>
    </row>
    <row r="581" spans="3:11" ht="13.2">
      <c r="C581" s="9" t="s">
        <v>8</v>
      </c>
      <c r="D581" s="9">
        <v>2034</v>
      </c>
      <c r="E581" s="9" t="s">
        <v>100</v>
      </c>
      <c r="F581" s="9" t="s">
        <v>101</v>
      </c>
      <c r="G581" s="30" t="s">
        <v>297</v>
      </c>
      <c r="H581" s="38">
        <f t="shared" si="25"/>
        <v>32.94</v>
      </c>
      <c r="I581" s="38">
        <f t="shared" si="27"/>
        <v>32.94</v>
      </c>
      <c r="K581" t="str">
        <f t="shared" si="26"/>
        <v>ELCCOA</v>
      </c>
    </row>
    <row r="582" spans="3:11" ht="13.2">
      <c r="C582" s="9" t="s">
        <v>8</v>
      </c>
      <c r="D582" s="9">
        <v>2035</v>
      </c>
      <c r="E582" s="9" t="s">
        <v>100</v>
      </c>
      <c r="F582" s="9" t="s">
        <v>101</v>
      </c>
      <c r="G582" s="30" t="s">
        <v>297</v>
      </c>
      <c r="H582" s="38">
        <f t="shared" si="25"/>
        <v>32.94</v>
      </c>
      <c r="I582" s="38">
        <f t="shared" si="27"/>
        <v>32.94</v>
      </c>
      <c r="K582" t="str">
        <f t="shared" si="26"/>
        <v>ELCCOA</v>
      </c>
    </row>
    <row r="583" spans="3:11" ht="13.2">
      <c r="C583" s="9" t="s">
        <v>8</v>
      </c>
      <c r="D583" s="9">
        <v>2036</v>
      </c>
      <c r="E583" s="9" t="s">
        <v>100</v>
      </c>
      <c r="F583" s="9" t="s">
        <v>101</v>
      </c>
      <c r="G583" s="30" t="s">
        <v>297</v>
      </c>
      <c r="H583" s="38">
        <f t="shared" si="25"/>
        <v>32.94</v>
      </c>
      <c r="I583" s="38">
        <f t="shared" si="27"/>
        <v>32.94</v>
      </c>
      <c r="K583" t="str">
        <f t="shared" si="26"/>
        <v>ELCCOA</v>
      </c>
    </row>
    <row r="584" spans="3:11" ht="13.2">
      <c r="C584" s="9" t="s">
        <v>8</v>
      </c>
      <c r="D584" s="9">
        <v>2037</v>
      </c>
      <c r="E584" s="9" t="s">
        <v>100</v>
      </c>
      <c r="F584" s="9" t="s">
        <v>101</v>
      </c>
      <c r="G584" s="30" t="s">
        <v>297</v>
      </c>
      <c r="H584" s="38">
        <f t="shared" si="25"/>
        <v>32.94</v>
      </c>
      <c r="I584" s="38">
        <f t="shared" si="27"/>
        <v>32.94</v>
      </c>
      <c r="K584" t="str">
        <f t="shared" si="26"/>
        <v>ELCCOA</v>
      </c>
    </row>
    <row r="585" spans="3:11" ht="13.2">
      <c r="C585" s="9" t="s">
        <v>8</v>
      </c>
      <c r="D585" s="9">
        <v>2038</v>
      </c>
      <c r="E585" s="9" t="s">
        <v>100</v>
      </c>
      <c r="F585" s="9" t="s">
        <v>101</v>
      </c>
      <c r="G585" s="30" t="s">
        <v>297</v>
      </c>
      <c r="H585" s="38">
        <f t="shared" si="25"/>
        <v>32.94</v>
      </c>
      <c r="I585" s="38">
        <f t="shared" si="27"/>
        <v>32.94</v>
      </c>
      <c r="K585" t="str">
        <f t="shared" si="26"/>
        <v>ELCCOA</v>
      </c>
    </row>
    <row r="586" spans="3:11" ht="13.2">
      <c r="C586" s="9" t="s">
        <v>8</v>
      </c>
      <c r="D586" s="9">
        <v>2039</v>
      </c>
      <c r="E586" s="9" t="s">
        <v>100</v>
      </c>
      <c r="F586" s="9" t="s">
        <v>101</v>
      </c>
      <c r="G586" s="30" t="s">
        <v>297</v>
      </c>
      <c r="H586" s="38">
        <f t="shared" si="25"/>
        <v>32.94</v>
      </c>
      <c r="I586" s="38">
        <f t="shared" si="27"/>
        <v>32.94</v>
      </c>
      <c r="K586" t="str">
        <f t="shared" si="26"/>
        <v>ELCCOA</v>
      </c>
    </row>
    <row r="587" spans="3:11" ht="13.2">
      <c r="C587" s="9" t="s">
        <v>8</v>
      </c>
      <c r="D587" s="9">
        <v>2040</v>
      </c>
      <c r="E587" s="9" t="s">
        <v>100</v>
      </c>
      <c r="F587" s="9" t="s">
        <v>101</v>
      </c>
      <c r="G587" s="30" t="s">
        <v>297</v>
      </c>
      <c r="H587" s="38">
        <f t="shared" si="25"/>
        <v>32.94</v>
      </c>
      <c r="I587" s="38">
        <f t="shared" si="27"/>
        <v>32.94</v>
      </c>
      <c r="K587" t="str">
        <f t="shared" si="26"/>
        <v>ELCCOA</v>
      </c>
    </row>
    <row r="588" spans="3:11" ht="13.2">
      <c r="C588" s="9" t="s">
        <v>8</v>
      </c>
      <c r="D588" s="9">
        <v>2041</v>
      </c>
      <c r="E588" s="9" t="s">
        <v>100</v>
      </c>
      <c r="F588" s="9" t="s">
        <v>101</v>
      </c>
      <c r="G588" s="30" t="s">
        <v>297</v>
      </c>
      <c r="H588" s="38">
        <f t="shared" si="25"/>
        <v>32.94</v>
      </c>
      <c r="I588" s="38">
        <f t="shared" si="27"/>
        <v>32.94</v>
      </c>
      <c r="K588" t="str">
        <f t="shared" si="26"/>
        <v>ELCCOA</v>
      </c>
    </row>
    <row r="589" spans="3:11" ht="13.2">
      <c r="C589" s="9" t="s">
        <v>8</v>
      </c>
      <c r="D589" s="9">
        <v>2042</v>
      </c>
      <c r="E589" s="9" t="s">
        <v>100</v>
      </c>
      <c r="F589" s="9" t="s">
        <v>101</v>
      </c>
      <c r="G589" s="30" t="s">
        <v>297</v>
      </c>
      <c r="H589" s="38">
        <f t="shared" si="25"/>
        <v>32.94</v>
      </c>
      <c r="I589" s="38">
        <f t="shared" si="27"/>
        <v>32.94</v>
      </c>
      <c r="K589" t="str">
        <f t="shared" si="26"/>
        <v>ELCCOA</v>
      </c>
    </row>
    <row r="590" spans="3:11" ht="13.2">
      <c r="C590" s="9" t="s">
        <v>8</v>
      </c>
      <c r="D590" s="9">
        <v>2043</v>
      </c>
      <c r="E590" s="9" t="s">
        <v>100</v>
      </c>
      <c r="F590" s="9" t="s">
        <v>101</v>
      </c>
      <c r="G590" s="30" t="s">
        <v>297</v>
      </c>
      <c r="H590" s="38">
        <f t="shared" si="25"/>
        <v>32.94</v>
      </c>
      <c r="I590" s="38">
        <f t="shared" si="27"/>
        <v>32.94</v>
      </c>
      <c r="K590" t="str">
        <f t="shared" si="26"/>
        <v>ELCCOA</v>
      </c>
    </row>
    <row r="591" spans="3:11" ht="13.2">
      <c r="C591" s="9" t="s">
        <v>8</v>
      </c>
      <c r="D591" s="9">
        <v>2044</v>
      </c>
      <c r="E591" s="9" t="s">
        <v>100</v>
      </c>
      <c r="F591" s="9" t="s">
        <v>101</v>
      </c>
      <c r="G591" s="30" t="s">
        <v>297</v>
      </c>
      <c r="H591" s="38">
        <f t="shared" si="25"/>
        <v>32.94</v>
      </c>
      <c r="I591" s="38">
        <f t="shared" si="27"/>
        <v>32.94</v>
      </c>
      <c r="K591" t="str">
        <f t="shared" si="26"/>
        <v>ELCCOA</v>
      </c>
    </row>
    <row r="592" spans="3:11" ht="13.2">
      <c r="C592" s="9" t="s">
        <v>8</v>
      </c>
      <c r="D592" s="9">
        <v>2045</v>
      </c>
      <c r="E592" s="9" t="s">
        <v>100</v>
      </c>
      <c r="F592" s="9" t="s">
        <v>101</v>
      </c>
      <c r="G592" s="30" t="s">
        <v>297</v>
      </c>
      <c r="H592" s="38">
        <f t="shared" si="25"/>
        <v>32.94</v>
      </c>
      <c r="I592" s="38">
        <f t="shared" si="27"/>
        <v>32.94</v>
      </c>
      <c r="K592" t="str">
        <f t="shared" si="26"/>
        <v>ELCCOA</v>
      </c>
    </row>
    <row r="593" spans="3:11" ht="13.2">
      <c r="C593" s="9" t="s">
        <v>8</v>
      </c>
      <c r="D593" s="9">
        <v>2046</v>
      </c>
      <c r="E593" s="9" t="s">
        <v>100</v>
      </c>
      <c r="F593" s="9" t="s">
        <v>101</v>
      </c>
      <c r="G593" s="30" t="s">
        <v>297</v>
      </c>
      <c r="H593" s="38">
        <f t="shared" si="25"/>
        <v>32.94</v>
      </c>
      <c r="I593" s="38">
        <f t="shared" si="27"/>
        <v>32.94</v>
      </c>
      <c r="K593" t="str">
        <f t="shared" si="26"/>
        <v>ELCCOA</v>
      </c>
    </row>
    <row r="594" spans="3:11" ht="13.2">
      <c r="C594" s="9" t="s">
        <v>8</v>
      </c>
      <c r="D594" s="9">
        <v>2047</v>
      </c>
      <c r="E594" s="9" t="s">
        <v>100</v>
      </c>
      <c r="F594" s="9" t="s">
        <v>101</v>
      </c>
      <c r="G594" s="30" t="s">
        <v>297</v>
      </c>
      <c r="H594" s="38">
        <f t="shared" si="25"/>
        <v>32.94</v>
      </c>
      <c r="I594" s="38">
        <f t="shared" si="27"/>
        <v>32.94</v>
      </c>
      <c r="K594" t="str">
        <f t="shared" si="26"/>
        <v>ELCCOA</v>
      </c>
    </row>
    <row r="595" spans="3:11" ht="13.2">
      <c r="C595" s="9" t="s">
        <v>8</v>
      </c>
      <c r="D595" s="9">
        <v>2048</v>
      </c>
      <c r="E595" s="9" t="s">
        <v>100</v>
      </c>
      <c r="F595" s="9" t="s">
        <v>101</v>
      </c>
      <c r="G595" s="30" t="s">
        <v>297</v>
      </c>
      <c r="H595" s="38">
        <f t="shared" si="25"/>
        <v>32.94</v>
      </c>
      <c r="I595" s="38">
        <f t="shared" si="27"/>
        <v>32.94</v>
      </c>
      <c r="K595" t="str">
        <f t="shared" si="26"/>
        <v>ELCCOA</v>
      </c>
    </row>
    <row r="596" spans="3:11" ht="13.2">
      <c r="C596" s="9" t="s">
        <v>8</v>
      </c>
      <c r="D596" s="9">
        <v>2049</v>
      </c>
      <c r="E596" s="9" t="s">
        <v>100</v>
      </c>
      <c r="F596" s="9" t="s">
        <v>101</v>
      </c>
      <c r="G596" s="30" t="s">
        <v>297</v>
      </c>
      <c r="H596" s="38">
        <f t="shared" ref="H596:H640" si="28">HLOOKUP(K596,FuelTax2,D596-2006,FALSE)*$B$10</f>
        <v>32.94</v>
      </c>
      <c r="I596" s="38">
        <f t="shared" si="27"/>
        <v>32.94</v>
      </c>
      <c r="K596" t="str">
        <f t="shared" si="26"/>
        <v>ELCCOA</v>
      </c>
    </row>
    <row r="597" spans="3:11" ht="13.2">
      <c r="C597" s="9" t="s">
        <v>8</v>
      </c>
      <c r="D597" s="9">
        <v>2050</v>
      </c>
      <c r="E597" s="9" t="s">
        <v>100</v>
      </c>
      <c r="F597" s="9" t="s">
        <v>101</v>
      </c>
      <c r="G597" s="30" t="s">
        <v>297</v>
      </c>
      <c r="H597" s="38">
        <f t="shared" si="28"/>
        <v>32.94</v>
      </c>
      <c r="I597" s="38">
        <f t="shared" si="27"/>
        <v>32.94</v>
      </c>
      <c r="K597" t="str">
        <f t="shared" ref="K597:K640" si="29">IF(LEFT(F597,1)="E",F597,"ELC"&amp;F597)</f>
        <v>ELCCOA</v>
      </c>
    </row>
    <row r="598" spans="3:11" ht="13.2">
      <c r="C598" s="9" t="s">
        <v>8</v>
      </c>
      <c r="D598" s="9">
        <v>2010</v>
      </c>
      <c r="E598" s="9" t="s">
        <v>100</v>
      </c>
      <c r="F598" s="9" t="s">
        <v>101</v>
      </c>
      <c r="G598" s="30" t="s">
        <v>297</v>
      </c>
      <c r="H598" s="38">
        <f t="shared" si="28"/>
        <v>35.729612642957861</v>
      </c>
      <c r="I598" s="38">
        <f t="shared" si="27"/>
        <v>35.729612642957861</v>
      </c>
      <c r="K598" t="str">
        <f t="shared" si="29"/>
        <v>ELCCOA</v>
      </c>
    </row>
    <row r="599" spans="3:11" ht="13.2">
      <c r="C599" s="7" t="s">
        <v>8</v>
      </c>
      <c r="D599" s="7">
        <v>2011</v>
      </c>
      <c r="E599" s="7" t="s">
        <v>100</v>
      </c>
      <c r="F599" s="7" t="s">
        <v>101</v>
      </c>
      <c r="G599" s="35" t="s">
        <v>297</v>
      </c>
      <c r="H599" s="38">
        <f t="shared" si="28"/>
        <v>35.505133401221997</v>
      </c>
      <c r="I599" s="38">
        <f t="shared" si="27"/>
        <v>35.505133401221997</v>
      </c>
      <c r="K599" t="str">
        <f t="shared" si="29"/>
        <v>ELCCOA</v>
      </c>
    </row>
    <row r="600" spans="3:11" ht="13.2">
      <c r="C600" t="s">
        <v>8</v>
      </c>
      <c r="D600">
        <v>2012</v>
      </c>
      <c r="E600" t="s">
        <v>102</v>
      </c>
      <c r="F600" t="s">
        <v>70</v>
      </c>
      <c r="G600" s="30" t="s">
        <v>297</v>
      </c>
      <c r="H600" s="38">
        <f t="shared" si="28"/>
        <v>42.422562809832591</v>
      </c>
      <c r="I600" s="38">
        <f t="shared" si="27"/>
        <v>42.422562809832591</v>
      </c>
      <c r="K600" t="str">
        <f t="shared" si="29"/>
        <v>ELCDSL</v>
      </c>
    </row>
    <row r="601" spans="3:11" ht="13.2">
      <c r="C601" t="s">
        <v>8</v>
      </c>
      <c r="D601">
        <v>2013</v>
      </c>
      <c r="E601" t="s">
        <v>102</v>
      </c>
      <c r="F601" t="s">
        <v>70</v>
      </c>
      <c r="G601" s="30" t="s">
        <v>297</v>
      </c>
      <c r="H601" s="38">
        <f t="shared" si="28"/>
        <v>42.523549965128559</v>
      </c>
      <c r="I601" s="38">
        <f t="shared" si="27"/>
        <v>42.523549965128559</v>
      </c>
      <c r="K601" t="str">
        <f t="shared" si="29"/>
        <v>ELCDSL</v>
      </c>
    </row>
    <row r="602" spans="3:11" ht="13.2">
      <c r="C602" t="s">
        <v>8</v>
      </c>
      <c r="D602">
        <v>2014</v>
      </c>
      <c r="E602" t="s">
        <v>102</v>
      </c>
      <c r="F602" t="s">
        <v>70</v>
      </c>
      <c r="G602" s="30" t="s">
        <v>297</v>
      </c>
      <c r="H602" s="38">
        <f t="shared" si="28"/>
        <v>42.950025245505451</v>
      </c>
      <c r="I602" s="38">
        <f t="shared" si="27"/>
        <v>42.950025245505451</v>
      </c>
      <c r="K602" t="str">
        <f t="shared" si="29"/>
        <v>ELCDSL</v>
      </c>
    </row>
    <row r="603" spans="3:11" ht="13.2">
      <c r="C603" t="s">
        <v>8</v>
      </c>
      <c r="D603">
        <v>2015</v>
      </c>
      <c r="E603" t="s">
        <v>102</v>
      </c>
      <c r="F603" t="s">
        <v>70</v>
      </c>
      <c r="G603" s="30" t="s">
        <v>297</v>
      </c>
      <c r="H603" s="38">
        <f t="shared" si="28"/>
        <v>45.12</v>
      </c>
      <c r="I603" s="38">
        <f t="shared" si="27"/>
        <v>45.12</v>
      </c>
      <c r="K603" t="str">
        <f t="shared" si="29"/>
        <v>ELCDSL</v>
      </c>
    </row>
    <row r="604" spans="3:11" ht="13.2">
      <c r="C604" t="s">
        <v>8</v>
      </c>
      <c r="D604">
        <v>2016</v>
      </c>
      <c r="E604" t="s">
        <v>102</v>
      </c>
      <c r="F604" t="s">
        <v>70</v>
      </c>
      <c r="G604" s="30" t="s">
        <v>297</v>
      </c>
      <c r="H604" s="38">
        <f t="shared" si="28"/>
        <v>45.12</v>
      </c>
      <c r="I604" s="38">
        <f t="shared" si="27"/>
        <v>45.12</v>
      </c>
      <c r="K604" t="str">
        <f t="shared" si="29"/>
        <v>ELCDSL</v>
      </c>
    </row>
    <row r="605" spans="3:11" ht="13.2">
      <c r="C605" t="s">
        <v>8</v>
      </c>
      <c r="D605">
        <v>2017</v>
      </c>
      <c r="E605" t="s">
        <v>102</v>
      </c>
      <c r="F605" t="s">
        <v>70</v>
      </c>
      <c r="G605" s="30" t="s">
        <v>297</v>
      </c>
      <c r="H605" s="38">
        <f t="shared" si="28"/>
        <v>45.12</v>
      </c>
      <c r="I605" s="38">
        <f t="shared" si="27"/>
        <v>45.12</v>
      </c>
      <c r="K605" t="str">
        <f t="shared" si="29"/>
        <v>ELCDSL</v>
      </c>
    </row>
    <row r="606" spans="3:11" ht="13.2">
      <c r="C606" t="s">
        <v>8</v>
      </c>
      <c r="D606">
        <v>2018</v>
      </c>
      <c r="E606" t="s">
        <v>102</v>
      </c>
      <c r="F606" t="s">
        <v>70</v>
      </c>
      <c r="G606" s="30" t="s">
        <v>297</v>
      </c>
      <c r="H606" s="38">
        <f t="shared" si="28"/>
        <v>45.12</v>
      </c>
      <c r="I606" s="38">
        <f t="shared" si="27"/>
        <v>45.12</v>
      </c>
      <c r="K606" t="str">
        <f t="shared" si="29"/>
        <v>ELCDSL</v>
      </c>
    </row>
    <row r="607" spans="3:11" ht="13.2">
      <c r="C607" t="s">
        <v>8</v>
      </c>
      <c r="D607">
        <v>2019</v>
      </c>
      <c r="E607" t="s">
        <v>102</v>
      </c>
      <c r="F607" t="s">
        <v>70</v>
      </c>
      <c r="G607" s="30" t="s">
        <v>297</v>
      </c>
      <c r="H607" s="38">
        <f t="shared" si="28"/>
        <v>45.12</v>
      </c>
      <c r="I607" s="38">
        <f t="shared" si="27"/>
        <v>45.12</v>
      </c>
      <c r="K607" t="str">
        <f t="shared" si="29"/>
        <v>ELCDSL</v>
      </c>
    </row>
    <row r="608" spans="3:11" ht="13.2">
      <c r="C608" t="s">
        <v>8</v>
      </c>
      <c r="D608">
        <v>2020</v>
      </c>
      <c r="E608" t="s">
        <v>102</v>
      </c>
      <c r="F608" t="s">
        <v>70</v>
      </c>
      <c r="G608" s="30" t="s">
        <v>297</v>
      </c>
      <c r="H608" s="38">
        <f t="shared" si="28"/>
        <v>45.12</v>
      </c>
      <c r="I608" s="38">
        <f t="shared" si="27"/>
        <v>45.12</v>
      </c>
      <c r="K608" t="str">
        <f t="shared" si="29"/>
        <v>ELCDSL</v>
      </c>
    </row>
    <row r="609" spans="3:11" ht="13.2">
      <c r="C609" t="s">
        <v>8</v>
      </c>
      <c r="D609">
        <v>2021</v>
      </c>
      <c r="E609" t="s">
        <v>102</v>
      </c>
      <c r="F609" t="s">
        <v>70</v>
      </c>
      <c r="G609" s="30" t="s">
        <v>297</v>
      </c>
      <c r="H609" s="38">
        <f t="shared" si="28"/>
        <v>45.12</v>
      </c>
      <c r="I609" s="38">
        <f t="shared" si="27"/>
        <v>45.12</v>
      </c>
      <c r="K609" t="str">
        <f t="shared" si="29"/>
        <v>ELCDSL</v>
      </c>
    </row>
    <row r="610" spans="3:11" ht="13.2">
      <c r="C610" t="s">
        <v>8</v>
      </c>
      <c r="D610">
        <v>2022</v>
      </c>
      <c r="E610" t="s">
        <v>102</v>
      </c>
      <c r="F610" t="s">
        <v>70</v>
      </c>
      <c r="G610" s="30" t="s">
        <v>297</v>
      </c>
      <c r="H610" s="38">
        <f t="shared" si="28"/>
        <v>45.12</v>
      </c>
      <c r="I610" s="38">
        <f t="shared" si="27"/>
        <v>45.12</v>
      </c>
      <c r="K610" t="str">
        <f t="shared" si="29"/>
        <v>ELCDSL</v>
      </c>
    </row>
    <row r="611" spans="3:11" ht="13.2">
      <c r="C611" t="s">
        <v>8</v>
      </c>
      <c r="D611">
        <v>2023</v>
      </c>
      <c r="E611" t="s">
        <v>102</v>
      </c>
      <c r="F611" t="s">
        <v>70</v>
      </c>
      <c r="G611" s="30" t="s">
        <v>297</v>
      </c>
      <c r="H611" s="38">
        <f t="shared" si="28"/>
        <v>45.12</v>
      </c>
      <c r="I611" s="38">
        <f t="shared" si="27"/>
        <v>45.12</v>
      </c>
      <c r="K611" t="str">
        <f t="shared" si="29"/>
        <v>ELCDSL</v>
      </c>
    </row>
    <row r="612" spans="3:11" ht="13.2">
      <c r="C612" t="s">
        <v>8</v>
      </c>
      <c r="D612">
        <v>2024</v>
      </c>
      <c r="E612" t="s">
        <v>102</v>
      </c>
      <c r="F612" t="s">
        <v>70</v>
      </c>
      <c r="G612" s="30" t="s">
        <v>297</v>
      </c>
      <c r="H612" s="38">
        <f t="shared" si="28"/>
        <v>45.12</v>
      </c>
      <c r="I612" s="38">
        <f t="shared" si="27"/>
        <v>45.12</v>
      </c>
      <c r="K612" t="str">
        <f t="shared" si="29"/>
        <v>ELCDSL</v>
      </c>
    </row>
    <row r="613" spans="3:11" ht="13.2">
      <c r="C613" t="s">
        <v>8</v>
      </c>
      <c r="D613">
        <v>2025</v>
      </c>
      <c r="E613" t="s">
        <v>102</v>
      </c>
      <c r="F613" t="s">
        <v>70</v>
      </c>
      <c r="G613" s="30" t="s">
        <v>297</v>
      </c>
      <c r="H613" s="38">
        <f t="shared" si="28"/>
        <v>45.12</v>
      </c>
      <c r="I613" s="38">
        <f t="shared" si="27"/>
        <v>45.12</v>
      </c>
      <c r="K613" t="str">
        <f t="shared" si="29"/>
        <v>ELCDSL</v>
      </c>
    </row>
    <row r="614" spans="3:11" ht="13.2">
      <c r="C614" t="s">
        <v>8</v>
      </c>
      <c r="D614">
        <v>2026</v>
      </c>
      <c r="E614" t="s">
        <v>102</v>
      </c>
      <c r="F614" t="s">
        <v>70</v>
      </c>
      <c r="G614" s="30" t="s">
        <v>297</v>
      </c>
      <c r="H614" s="38">
        <f t="shared" si="28"/>
        <v>45.12</v>
      </c>
      <c r="I614" s="38">
        <f t="shared" si="27"/>
        <v>45.12</v>
      </c>
      <c r="K614" t="str">
        <f t="shared" si="29"/>
        <v>ELCDSL</v>
      </c>
    </row>
    <row r="615" spans="3:11" ht="13.2">
      <c r="C615" t="s">
        <v>8</v>
      </c>
      <c r="D615">
        <v>2027</v>
      </c>
      <c r="E615" t="s">
        <v>102</v>
      </c>
      <c r="F615" t="s">
        <v>70</v>
      </c>
      <c r="G615" s="30" t="s">
        <v>297</v>
      </c>
      <c r="H615" s="38">
        <f t="shared" si="28"/>
        <v>45.12</v>
      </c>
      <c r="I615" s="38">
        <f t="shared" si="27"/>
        <v>45.12</v>
      </c>
      <c r="K615" t="str">
        <f t="shared" si="29"/>
        <v>ELCDSL</v>
      </c>
    </row>
    <row r="616" spans="3:11" ht="13.2">
      <c r="C616" t="s">
        <v>8</v>
      </c>
      <c r="D616">
        <v>2028</v>
      </c>
      <c r="E616" t="s">
        <v>102</v>
      </c>
      <c r="F616" t="s">
        <v>70</v>
      </c>
      <c r="G616" s="30" t="s">
        <v>297</v>
      </c>
      <c r="H616" s="38">
        <f t="shared" si="28"/>
        <v>45.12</v>
      </c>
      <c r="I616" s="38">
        <f t="shared" si="27"/>
        <v>45.12</v>
      </c>
      <c r="K616" t="str">
        <f t="shared" si="29"/>
        <v>ELCDSL</v>
      </c>
    </row>
    <row r="617" spans="3:11" ht="13.2">
      <c r="C617" t="s">
        <v>8</v>
      </c>
      <c r="D617">
        <v>2029</v>
      </c>
      <c r="E617" t="s">
        <v>102</v>
      </c>
      <c r="F617" t="s">
        <v>70</v>
      </c>
      <c r="G617" s="30" t="s">
        <v>297</v>
      </c>
      <c r="H617" s="38">
        <f t="shared" si="28"/>
        <v>45.12</v>
      </c>
      <c r="I617" s="38">
        <f t="shared" si="27"/>
        <v>45.12</v>
      </c>
      <c r="K617" t="str">
        <f t="shared" si="29"/>
        <v>ELCDSL</v>
      </c>
    </row>
    <row r="618" spans="3:11" ht="13.2">
      <c r="C618" t="s">
        <v>8</v>
      </c>
      <c r="D618">
        <v>2030</v>
      </c>
      <c r="E618" t="s">
        <v>102</v>
      </c>
      <c r="F618" t="s">
        <v>70</v>
      </c>
      <c r="G618" s="30" t="s">
        <v>297</v>
      </c>
      <c r="H618" s="38">
        <f t="shared" si="28"/>
        <v>45.12</v>
      </c>
      <c r="I618" s="38">
        <f t="shared" si="27"/>
        <v>45.12</v>
      </c>
      <c r="K618" t="str">
        <f t="shared" si="29"/>
        <v>ELCDSL</v>
      </c>
    </row>
    <row r="619" spans="3:11" ht="13.2">
      <c r="C619" t="s">
        <v>8</v>
      </c>
      <c r="D619">
        <v>2031</v>
      </c>
      <c r="E619" t="s">
        <v>102</v>
      </c>
      <c r="F619" t="s">
        <v>70</v>
      </c>
      <c r="G619" s="30" t="s">
        <v>297</v>
      </c>
      <c r="H619" s="38">
        <f t="shared" si="28"/>
        <v>45.12</v>
      </c>
      <c r="I619" s="38">
        <f t="shared" si="27"/>
        <v>45.12</v>
      </c>
      <c r="K619" t="str">
        <f t="shared" si="29"/>
        <v>ELCDSL</v>
      </c>
    </row>
    <row r="620" spans="3:11" ht="13.2">
      <c r="C620" t="s">
        <v>8</v>
      </c>
      <c r="D620">
        <v>2032</v>
      </c>
      <c r="E620" t="s">
        <v>102</v>
      </c>
      <c r="F620" t="s">
        <v>70</v>
      </c>
      <c r="G620" s="30" t="s">
        <v>297</v>
      </c>
      <c r="H620" s="38">
        <f t="shared" si="28"/>
        <v>45.12</v>
      </c>
      <c r="I620" s="38">
        <f t="shared" si="27"/>
        <v>45.12</v>
      </c>
      <c r="K620" t="str">
        <f t="shared" si="29"/>
        <v>ELCDSL</v>
      </c>
    </row>
    <row r="621" spans="3:11" ht="13.2">
      <c r="C621" t="s">
        <v>8</v>
      </c>
      <c r="D621">
        <v>2033</v>
      </c>
      <c r="E621" t="s">
        <v>102</v>
      </c>
      <c r="F621" t="s">
        <v>70</v>
      </c>
      <c r="G621" s="30" t="s">
        <v>297</v>
      </c>
      <c r="H621" s="38">
        <f t="shared" si="28"/>
        <v>45.12</v>
      </c>
      <c r="I621" s="38">
        <f t="shared" si="27"/>
        <v>45.12</v>
      </c>
      <c r="K621" t="str">
        <f t="shared" si="29"/>
        <v>ELCDSL</v>
      </c>
    </row>
    <row r="622" spans="3:11" ht="13.2">
      <c r="C622" t="s">
        <v>8</v>
      </c>
      <c r="D622">
        <v>2034</v>
      </c>
      <c r="E622" t="s">
        <v>102</v>
      </c>
      <c r="F622" t="s">
        <v>70</v>
      </c>
      <c r="G622" s="30" t="s">
        <v>297</v>
      </c>
      <c r="H622" s="38">
        <f t="shared" si="28"/>
        <v>45.12</v>
      </c>
      <c r="I622" s="38">
        <f t="shared" si="27"/>
        <v>45.12</v>
      </c>
      <c r="K622" t="str">
        <f t="shared" si="29"/>
        <v>ELCDSL</v>
      </c>
    </row>
    <row r="623" spans="3:11" ht="13.2">
      <c r="C623" t="s">
        <v>8</v>
      </c>
      <c r="D623">
        <v>2035</v>
      </c>
      <c r="E623" t="s">
        <v>102</v>
      </c>
      <c r="F623" t="s">
        <v>70</v>
      </c>
      <c r="G623" s="30" t="s">
        <v>297</v>
      </c>
      <c r="H623" s="38">
        <f t="shared" si="28"/>
        <v>45.12</v>
      </c>
      <c r="I623" s="38">
        <f t="shared" si="27"/>
        <v>45.12</v>
      </c>
      <c r="K623" t="str">
        <f t="shared" si="29"/>
        <v>ELCDSL</v>
      </c>
    </row>
    <row r="624" spans="3:11" ht="13.2">
      <c r="C624" t="s">
        <v>8</v>
      </c>
      <c r="D624">
        <v>2036</v>
      </c>
      <c r="E624" t="s">
        <v>102</v>
      </c>
      <c r="F624" t="s">
        <v>70</v>
      </c>
      <c r="G624" s="30" t="s">
        <v>297</v>
      </c>
      <c r="H624" s="38">
        <f t="shared" si="28"/>
        <v>45.12</v>
      </c>
      <c r="I624" s="38">
        <f t="shared" si="27"/>
        <v>45.12</v>
      </c>
      <c r="K624" t="str">
        <f t="shared" si="29"/>
        <v>ELCDSL</v>
      </c>
    </row>
    <row r="625" spans="3:11" ht="13.2">
      <c r="C625" t="s">
        <v>8</v>
      </c>
      <c r="D625">
        <v>2037</v>
      </c>
      <c r="E625" t="s">
        <v>102</v>
      </c>
      <c r="F625" t="s">
        <v>70</v>
      </c>
      <c r="G625" s="30" t="s">
        <v>297</v>
      </c>
      <c r="H625" s="38">
        <f t="shared" si="28"/>
        <v>45.12</v>
      </c>
      <c r="I625" s="38">
        <f t="shared" si="27"/>
        <v>45.12</v>
      </c>
      <c r="K625" t="str">
        <f t="shared" si="29"/>
        <v>ELCDSL</v>
      </c>
    </row>
    <row r="626" spans="3:11" ht="13.2">
      <c r="C626" t="s">
        <v>8</v>
      </c>
      <c r="D626">
        <v>2038</v>
      </c>
      <c r="E626" t="s">
        <v>102</v>
      </c>
      <c r="F626" t="s">
        <v>70</v>
      </c>
      <c r="G626" s="30" t="s">
        <v>297</v>
      </c>
      <c r="H626" s="38">
        <f t="shared" si="28"/>
        <v>45.12</v>
      </c>
      <c r="I626" s="38">
        <f t="shared" si="27"/>
        <v>45.12</v>
      </c>
      <c r="K626" t="str">
        <f t="shared" si="29"/>
        <v>ELCDSL</v>
      </c>
    </row>
    <row r="627" spans="3:11" ht="13.2">
      <c r="C627" t="s">
        <v>8</v>
      </c>
      <c r="D627">
        <v>2039</v>
      </c>
      <c r="E627" t="s">
        <v>102</v>
      </c>
      <c r="F627" t="s">
        <v>70</v>
      </c>
      <c r="G627" s="30" t="s">
        <v>297</v>
      </c>
      <c r="H627" s="38">
        <f t="shared" si="28"/>
        <v>45.12</v>
      </c>
      <c r="I627" s="38">
        <f t="shared" si="27"/>
        <v>45.12</v>
      </c>
      <c r="K627" t="str">
        <f t="shared" si="29"/>
        <v>ELCDSL</v>
      </c>
    </row>
    <row r="628" spans="3:11" ht="13.2">
      <c r="C628" t="s">
        <v>8</v>
      </c>
      <c r="D628">
        <v>2040</v>
      </c>
      <c r="E628" t="s">
        <v>102</v>
      </c>
      <c r="F628" t="s">
        <v>70</v>
      </c>
      <c r="G628" s="30" t="s">
        <v>297</v>
      </c>
      <c r="H628" s="38">
        <f t="shared" si="28"/>
        <v>45.12</v>
      </c>
      <c r="I628" s="38">
        <f t="shared" si="27"/>
        <v>45.12</v>
      </c>
      <c r="K628" t="str">
        <f t="shared" si="29"/>
        <v>ELCDSL</v>
      </c>
    </row>
    <row r="629" spans="3:11" ht="13.2">
      <c r="C629" t="s">
        <v>8</v>
      </c>
      <c r="D629">
        <v>2041</v>
      </c>
      <c r="E629" t="s">
        <v>102</v>
      </c>
      <c r="F629" t="s">
        <v>70</v>
      </c>
      <c r="G629" s="30" t="s">
        <v>297</v>
      </c>
      <c r="H629" s="38">
        <f t="shared" si="28"/>
        <v>45.12</v>
      </c>
      <c r="I629" s="38">
        <f t="shared" si="27"/>
        <v>45.12</v>
      </c>
      <c r="K629" t="str">
        <f t="shared" si="29"/>
        <v>ELCDSL</v>
      </c>
    </row>
    <row r="630" spans="3:11" ht="13.2">
      <c r="C630" t="s">
        <v>8</v>
      </c>
      <c r="D630">
        <v>2042</v>
      </c>
      <c r="E630" t="s">
        <v>102</v>
      </c>
      <c r="F630" t="s">
        <v>70</v>
      </c>
      <c r="G630" s="30" t="s">
        <v>297</v>
      </c>
      <c r="H630" s="38">
        <f t="shared" si="28"/>
        <v>45.12</v>
      </c>
      <c r="I630" s="38">
        <f t="shared" si="27"/>
        <v>45.12</v>
      </c>
      <c r="K630" t="str">
        <f t="shared" si="29"/>
        <v>ELCDSL</v>
      </c>
    </row>
    <row r="631" spans="3:11" ht="13.2">
      <c r="C631" t="s">
        <v>8</v>
      </c>
      <c r="D631">
        <v>2043</v>
      </c>
      <c r="E631" t="s">
        <v>102</v>
      </c>
      <c r="F631" t="s">
        <v>70</v>
      </c>
      <c r="G631" s="30" t="s">
        <v>297</v>
      </c>
      <c r="H631" s="38">
        <f t="shared" si="28"/>
        <v>45.12</v>
      </c>
      <c r="I631" s="38">
        <f t="shared" si="27"/>
        <v>45.12</v>
      </c>
      <c r="K631" t="str">
        <f t="shared" si="29"/>
        <v>ELCDSL</v>
      </c>
    </row>
    <row r="632" spans="3:11" ht="13.2">
      <c r="C632" t="s">
        <v>8</v>
      </c>
      <c r="D632">
        <v>2044</v>
      </c>
      <c r="E632" t="s">
        <v>102</v>
      </c>
      <c r="F632" t="s">
        <v>70</v>
      </c>
      <c r="G632" s="30" t="s">
        <v>297</v>
      </c>
      <c r="H632" s="38">
        <f t="shared" si="28"/>
        <v>45.12</v>
      </c>
      <c r="I632" s="38">
        <f t="shared" si="27"/>
        <v>45.12</v>
      </c>
      <c r="K632" t="str">
        <f t="shared" si="29"/>
        <v>ELCDSL</v>
      </c>
    </row>
    <row r="633" spans="3:11" ht="13.2">
      <c r="C633" t="s">
        <v>8</v>
      </c>
      <c r="D633">
        <v>2045</v>
      </c>
      <c r="E633" t="s">
        <v>102</v>
      </c>
      <c r="F633" t="s">
        <v>70</v>
      </c>
      <c r="G633" s="30" t="s">
        <v>297</v>
      </c>
      <c r="H633" s="38">
        <f t="shared" si="28"/>
        <v>45.12</v>
      </c>
      <c r="I633" s="38">
        <f t="shared" si="27"/>
        <v>45.12</v>
      </c>
      <c r="K633" t="str">
        <f t="shared" si="29"/>
        <v>ELCDSL</v>
      </c>
    </row>
    <row r="634" spans="3:11" ht="13.2">
      <c r="C634" t="s">
        <v>8</v>
      </c>
      <c r="D634">
        <v>2046</v>
      </c>
      <c r="E634" t="s">
        <v>102</v>
      </c>
      <c r="F634" t="s">
        <v>70</v>
      </c>
      <c r="G634" s="30" t="s">
        <v>297</v>
      </c>
      <c r="H634" s="38">
        <f t="shared" si="28"/>
        <v>45.12</v>
      </c>
      <c r="I634" s="38">
        <f t="shared" si="27"/>
        <v>45.12</v>
      </c>
      <c r="K634" t="str">
        <f t="shared" si="29"/>
        <v>ELCDSL</v>
      </c>
    </row>
    <row r="635" spans="3:11" ht="13.2">
      <c r="C635" t="s">
        <v>8</v>
      </c>
      <c r="D635">
        <v>2047</v>
      </c>
      <c r="E635" t="s">
        <v>102</v>
      </c>
      <c r="F635" t="s">
        <v>70</v>
      </c>
      <c r="G635" s="30" t="s">
        <v>297</v>
      </c>
      <c r="H635" s="38">
        <f t="shared" si="28"/>
        <v>45.12</v>
      </c>
      <c r="I635" s="38">
        <f t="shared" si="27"/>
        <v>45.12</v>
      </c>
      <c r="K635" t="str">
        <f t="shared" si="29"/>
        <v>ELCDSL</v>
      </c>
    </row>
    <row r="636" spans="3:11" ht="13.2">
      <c r="C636" t="s">
        <v>8</v>
      </c>
      <c r="D636">
        <v>2048</v>
      </c>
      <c r="E636" t="s">
        <v>102</v>
      </c>
      <c r="F636" t="s">
        <v>70</v>
      </c>
      <c r="G636" s="30" t="s">
        <v>297</v>
      </c>
      <c r="H636" s="38">
        <f t="shared" si="28"/>
        <v>45.12</v>
      </c>
      <c r="I636" s="38">
        <f t="shared" si="27"/>
        <v>45.12</v>
      </c>
      <c r="K636" t="str">
        <f t="shared" si="29"/>
        <v>ELCDSL</v>
      </c>
    </row>
    <row r="637" spans="3:11" ht="13.2">
      <c r="C637" t="s">
        <v>8</v>
      </c>
      <c r="D637">
        <v>2049</v>
      </c>
      <c r="E637" t="s">
        <v>102</v>
      </c>
      <c r="F637" t="s">
        <v>70</v>
      </c>
      <c r="G637" s="30" t="s">
        <v>297</v>
      </c>
      <c r="H637" s="38">
        <f t="shared" si="28"/>
        <v>45.12</v>
      </c>
      <c r="I637" s="38">
        <f t="shared" si="27"/>
        <v>45.12</v>
      </c>
      <c r="K637" t="str">
        <f t="shared" si="29"/>
        <v>ELCDSL</v>
      </c>
    </row>
    <row r="638" spans="3:11" ht="13.2">
      <c r="C638" t="s">
        <v>8</v>
      </c>
      <c r="D638">
        <v>2050</v>
      </c>
      <c r="E638" t="s">
        <v>102</v>
      </c>
      <c r="F638" t="s">
        <v>70</v>
      </c>
      <c r="G638" s="30" t="s">
        <v>297</v>
      </c>
      <c r="H638" s="38">
        <f t="shared" si="28"/>
        <v>45.12</v>
      </c>
      <c r="I638" s="38">
        <f t="shared" si="27"/>
        <v>45.12</v>
      </c>
      <c r="K638" t="str">
        <f t="shared" si="29"/>
        <v>ELCDSL</v>
      </c>
    </row>
    <row r="639" spans="3:11" ht="13.2">
      <c r="C639" t="s">
        <v>8</v>
      </c>
      <c r="D639">
        <v>2010</v>
      </c>
      <c r="E639" t="s">
        <v>102</v>
      </c>
      <c r="F639" t="s">
        <v>70</v>
      </c>
      <c r="G639" s="30" t="s">
        <v>297</v>
      </c>
      <c r="H639" s="38">
        <f t="shared" si="28"/>
        <v>43.058189435406931</v>
      </c>
      <c r="I639" s="38">
        <f t="shared" si="27"/>
        <v>43.058189435406931</v>
      </c>
      <c r="K639" t="str">
        <f t="shared" si="29"/>
        <v>ELCDSL</v>
      </c>
    </row>
    <row r="640" spans="3:11" ht="13.2">
      <c r="C640" t="s">
        <v>8</v>
      </c>
      <c r="D640">
        <v>2011</v>
      </c>
      <c r="E640" t="s">
        <v>102</v>
      </c>
      <c r="F640" t="s">
        <v>70</v>
      </c>
      <c r="G640" s="30" t="s">
        <v>297</v>
      </c>
      <c r="H640" s="38">
        <f t="shared" si="28"/>
        <v>42.743807334244813</v>
      </c>
      <c r="I640" s="38">
        <f t="shared" ref="I640" si="30">H640</f>
        <v>42.743807334244813</v>
      </c>
      <c r="K640" t="str">
        <f t="shared" si="29"/>
        <v>ELCDSL</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9">
    <tabColor rgb="FF00B0F0"/>
  </sheetPr>
  <dimension ref="B1:AB169"/>
  <sheetViews>
    <sheetView topLeftCell="M1" workbookViewId="0">
      <selection activeCell="T9" sqref="T9"/>
    </sheetView>
  </sheetViews>
  <sheetFormatPr defaultRowHeight="12.6"/>
  <cols>
    <col min="1" max="1" width="3.88671875" customWidth="1"/>
    <col min="2" max="5" width="11.33203125" customWidth="1"/>
    <col min="6" max="6" width="12.109375" bestFit="1" customWidth="1"/>
    <col min="7" max="9" width="11.33203125" customWidth="1"/>
    <col min="11" max="14" width="11.33203125" customWidth="1"/>
    <col min="15" max="15" width="12.109375" style="9" bestFit="1" customWidth="1"/>
    <col min="16" max="18" width="11.33203125" customWidth="1"/>
    <col min="24" max="24" width="14.109375" bestFit="1" customWidth="1"/>
    <col min="27" max="27" width="10.6640625" bestFit="1" customWidth="1"/>
    <col min="28" max="28" width="10.6640625" customWidth="1"/>
  </cols>
  <sheetData>
    <row r="1" spans="2:28">
      <c r="O1"/>
    </row>
    <row r="2" spans="2:28" ht="25.8">
      <c r="B2" s="11" t="s">
        <v>62</v>
      </c>
      <c r="K2" s="11" t="s">
        <v>63</v>
      </c>
      <c r="O2"/>
      <c r="T2" s="11" t="s">
        <v>64</v>
      </c>
    </row>
    <row r="3" spans="2:28">
      <c r="O3"/>
    </row>
    <row r="4" spans="2:28" ht="14.4">
      <c r="B4" s="2" t="s">
        <v>191</v>
      </c>
      <c r="C4" s="1"/>
      <c r="D4" s="1"/>
      <c r="E4" s="1"/>
      <c r="F4" s="1"/>
      <c r="G4" s="1"/>
      <c r="H4" s="1"/>
      <c r="I4" s="1"/>
      <c r="K4" s="2" t="s">
        <v>191</v>
      </c>
      <c r="L4" s="1"/>
      <c r="M4" s="1"/>
      <c r="N4" s="1"/>
      <c r="O4" s="1"/>
      <c r="P4" s="1"/>
      <c r="Q4" s="1"/>
      <c r="R4" s="1"/>
      <c r="T4" s="2" t="s">
        <v>191</v>
      </c>
      <c r="U4" s="1"/>
      <c r="V4" s="1"/>
      <c r="W4" s="1"/>
      <c r="X4" s="1"/>
      <c r="Y4" s="1"/>
      <c r="Z4" s="1"/>
      <c r="AA4" s="1"/>
      <c r="AB4" s="1"/>
    </row>
    <row r="5" spans="2:28" ht="13.8" thickBot="1">
      <c r="B5" s="3" t="s">
        <v>4</v>
      </c>
      <c r="C5" s="3" t="s">
        <v>5</v>
      </c>
      <c r="D5" s="3" t="s">
        <v>1</v>
      </c>
      <c r="E5" s="5" t="s">
        <v>46</v>
      </c>
      <c r="F5" s="5" t="s">
        <v>6</v>
      </c>
      <c r="G5" s="18" t="s">
        <v>43</v>
      </c>
      <c r="H5" s="4" t="s">
        <v>432</v>
      </c>
      <c r="I5" s="275" t="s">
        <v>433</v>
      </c>
      <c r="K5" s="3" t="s">
        <v>4</v>
      </c>
      <c r="L5" s="3" t="s">
        <v>5</v>
      </c>
      <c r="M5" s="3" t="s">
        <v>1</v>
      </c>
      <c r="N5" s="5" t="s">
        <v>46</v>
      </c>
      <c r="O5" s="5" t="s">
        <v>6</v>
      </c>
      <c r="P5" s="18" t="s">
        <v>43</v>
      </c>
      <c r="Q5" s="4" t="s">
        <v>432</v>
      </c>
      <c r="R5" s="275" t="s">
        <v>433</v>
      </c>
      <c r="T5" s="3" t="s">
        <v>4</v>
      </c>
      <c r="U5" s="3" t="s">
        <v>5</v>
      </c>
      <c r="V5" s="3" t="s">
        <v>1</v>
      </c>
      <c r="W5" s="5" t="s">
        <v>46</v>
      </c>
      <c r="X5" s="5" t="s">
        <v>7</v>
      </c>
      <c r="Y5" s="5" t="s">
        <v>6</v>
      </c>
      <c r="Z5" s="18" t="s">
        <v>43</v>
      </c>
      <c r="AA5" s="4" t="s">
        <v>432</v>
      </c>
      <c r="AB5" s="275" t="s">
        <v>433</v>
      </c>
    </row>
    <row r="6" spans="2:28" ht="13.2">
      <c r="C6" t="s">
        <v>48</v>
      </c>
      <c r="D6" s="6">
        <v>2010</v>
      </c>
      <c r="E6" t="s">
        <v>49</v>
      </c>
      <c r="F6" s="12" t="s">
        <v>27</v>
      </c>
      <c r="G6" s="22" t="s">
        <v>44</v>
      </c>
      <c r="H6" s="14"/>
      <c r="I6" s="14"/>
      <c r="L6" t="s">
        <v>48</v>
      </c>
      <c r="M6" s="6">
        <v>2010</v>
      </c>
      <c r="N6" t="s">
        <v>49</v>
      </c>
      <c r="O6" s="12" t="s">
        <v>55</v>
      </c>
      <c r="P6" s="22" t="s">
        <v>44</v>
      </c>
      <c r="Q6" s="14"/>
      <c r="R6" s="14"/>
      <c r="U6" t="s">
        <v>48</v>
      </c>
      <c r="V6" s="6">
        <v>2010</v>
      </c>
      <c r="W6" t="s">
        <v>49</v>
      </c>
      <c r="X6" t="s">
        <v>65</v>
      </c>
      <c r="Y6" s="12" t="s">
        <v>55</v>
      </c>
      <c r="Z6" s="22" t="s">
        <v>44</v>
      </c>
      <c r="AA6" s="14"/>
      <c r="AB6" s="14"/>
    </row>
    <row r="7" spans="2:28" ht="13.2">
      <c r="C7" s="9" t="s">
        <v>48</v>
      </c>
      <c r="D7" s="6">
        <v>2011</v>
      </c>
      <c r="E7" t="s">
        <v>49</v>
      </c>
      <c r="F7" s="9" t="s">
        <v>27</v>
      </c>
      <c r="G7" s="22" t="s">
        <v>44</v>
      </c>
      <c r="H7" s="14"/>
      <c r="I7" s="14"/>
      <c r="L7" s="9" t="s">
        <v>48</v>
      </c>
      <c r="M7" s="6">
        <v>2011</v>
      </c>
      <c r="N7" t="s">
        <v>49</v>
      </c>
      <c r="O7" s="9" t="s">
        <v>55</v>
      </c>
      <c r="P7" s="22" t="s">
        <v>44</v>
      </c>
      <c r="Q7" s="14"/>
      <c r="R7" s="14"/>
    </row>
    <row r="8" spans="2:28" ht="13.2">
      <c r="C8" s="9" t="s">
        <v>48</v>
      </c>
      <c r="D8" s="6">
        <v>2012</v>
      </c>
      <c r="E8" t="s">
        <v>49</v>
      </c>
      <c r="F8" s="9" t="s">
        <v>27</v>
      </c>
      <c r="G8" s="22" t="s">
        <v>44</v>
      </c>
      <c r="H8" s="14"/>
      <c r="I8" s="14"/>
      <c r="L8" s="9" t="s">
        <v>48</v>
      </c>
      <c r="M8" s="6">
        <v>2012</v>
      </c>
      <c r="N8" t="s">
        <v>49</v>
      </c>
      <c r="O8" s="9" t="s">
        <v>55</v>
      </c>
      <c r="P8" s="22" t="s">
        <v>44</v>
      </c>
      <c r="Q8" s="14"/>
      <c r="R8" s="14"/>
    </row>
    <row r="9" spans="2:28" ht="13.2">
      <c r="C9" s="9" t="s">
        <v>48</v>
      </c>
      <c r="D9" s="6">
        <v>2013</v>
      </c>
      <c r="E9" t="s">
        <v>49</v>
      </c>
      <c r="F9" s="9" t="s">
        <v>27</v>
      </c>
      <c r="G9" s="22" t="s">
        <v>44</v>
      </c>
      <c r="H9" s="14"/>
      <c r="I9" s="14"/>
      <c r="L9" s="9" t="s">
        <v>48</v>
      </c>
      <c r="M9" s="6">
        <v>2013</v>
      </c>
      <c r="N9" t="s">
        <v>49</v>
      </c>
      <c r="O9" s="9" t="s">
        <v>55</v>
      </c>
      <c r="P9" s="22" t="s">
        <v>44</v>
      </c>
      <c r="Q9" s="14"/>
      <c r="R9" s="14"/>
    </row>
    <row r="10" spans="2:28" ht="13.2">
      <c r="C10" s="9" t="s">
        <v>48</v>
      </c>
      <c r="D10" s="6">
        <v>2014</v>
      </c>
      <c r="E10" t="s">
        <v>49</v>
      </c>
      <c r="F10" s="9" t="s">
        <v>27</v>
      </c>
      <c r="G10" s="22" t="s">
        <v>44</v>
      </c>
      <c r="H10" s="14"/>
      <c r="I10" s="14"/>
      <c r="L10" s="9" t="s">
        <v>48</v>
      </c>
      <c r="M10" s="6">
        <v>2014</v>
      </c>
      <c r="N10" t="s">
        <v>49</v>
      </c>
      <c r="O10" s="9" t="s">
        <v>55</v>
      </c>
      <c r="P10" s="22" t="s">
        <v>44</v>
      </c>
      <c r="Q10" s="14"/>
      <c r="R10" s="14"/>
    </row>
    <row r="11" spans="2:28" ht="13.2">
      <c r="B11" s="9"/>
      <c r="C11" s="9" t="s">
        <v>48</v>
      </c>
      <c r="D11" s="6">
        <v>2015</v>
      </c>
      <c r="E11" t="s">
        <v>49</v>
      </c>
      <c r="F11" s="9" t="s">
        <v>27</v>
      </c>
      <c r="G11" s="22" t="s">
        <v>44</v>
      </c>
      <c r="H11" s="14"/>
      <c r="I11" s="14"/>
      <c r="K11" s="9"/>
      <c r="L11" s="9" t="s">
        <v>48</v>
      </c>
      <c r="M11" s="6">
        <v>2015</v>
      </c>
      <c r="N11" t="s">
        <v>49</v>
      </c>
      <c r="O11" s="9" t="s">
        <v>55</v>
      </c>
      <c r="P11" s="22" t="s">
        <v>44</v>
      </c>
      <c r="Q11" s="14"/>
      <c r="R11" s="14"/>
    </row>
    <row r="12" spans="2:28" ht="13.2">
      <c r="B12" s="9"/>
      <c r="C12" s="9" t="s">
        <v>48</v>
      </c>
      <c r="D12" s="6">
        <v>2016</v>
      </c>
      <c r="E12" t="s">
        <v>49</v>
      </c>
      <c r="F12" s="9" t="s">
        <v>27</v>
      </c>
      <c r="G12" s="22" t="s">
        <v>44</v>
      </c>
      <c r="H12" s="14"/>
      <c r="I12" s="14"/>
      <c r="K12" s="9"/>
      <c r="L12" s="9" t="s">
        <v>48</v>
      </c>
      <c r="M12" s="6">
        <v>2016</v>
      </c>
      <c r="N12" t="s">
        <v>49</v>
      </c>
      <c r="O12" s="9" t="s">
        <v>55</v>
      </c>
      <c r="P12" s="22" t="s">
        <v>44</v>
      </c>
      <c r="Q12" s="14"/>
      <c r="R12" s="14"/>
    </row>
    <row r="13" spans="2:28" ht="13.2">
      <c r="B13" s="9"/>
      <c r="C13" s="9" t="s">
        <v>48</v>
      </c>
      <c r="D13" s="6">
        <v>2017</v>
      </c>
      <c r="E13" t="s">
        <v>49</v>
      </c>
      <c r="F13" s="9" t="s">
        <v>27</v>
      </c>
      <c r="G13" s="22" t="s">
        <v>44</v>
      </c>
      <c r="H13" s="14"/>
      <c r="I13" s="14"/>
      <c r="K13" s="9"/>
      <c r="L13" s="9" t="s">
        <v>48</v>
      </c>
      <c r="M13" s="6">
        <v>2017</v>
      </c>
      <c r="N13" t="s">
        <v>49</v>
      </c>
      <c r="O13" s="9" t="s">
        <v>55</v>
      </c>
      <c r="P13" s="22" t="s">
        <v>44</v>
      </c>
      <c r="Q13" s="14"/>
      <c r="R13" s="14"/>
    </row>
    <row r="14" spans="2:28" ht="13.2">
      <c r="B14" s="9"/>
      <c r="C14" s="9" t="s">
        <v>48</v>
      </c>
      <c r="D14" s="6">
        <v>2018</v>
      </c>
      <c r="E14" t="s">
        <v>49</v>
      </c>
      <c r="F14" s="9" t="s">
        <v>27</v>
      </c>
      <c r="G14" s="22" t="s">
        <v>44</v>
      </c>
      <c r="H14" s="14"/>
      <c r="I14" s="14"/>
      <c r="K14" s="9"/>
      <c r="L14" s="9" t="s">
        <v>48</v>
      </c>
      <c r="M14" s="6">
        <v>2018</v>
      </c>
      <c r="N14" t="s">
        <v>49</v>
      </c>
      <c r="O14" s="9" t="s">
        <v>55</v>
      </c>
      <c r="P14" s="22" t="s">
        <v>44</v>
      </c>
      <c r="Q14" s="14"/>
      <c r="R14" s="14"/>
    </row>
    <row r="15" spans="2:28" ht="13.2">
      <c r="B15" s="9"/>
      <c r="C15" s="9" t="s">
        <v>48</v>
      </c>
      <c r="D15" s="6">
        <v>2019</v>
      </c>
      <c r="E15" t="s">
        <v>49</v>
      </c>
      <c r="F15" s="9" t="s">
        <v>27</v>
      </c>
      <c r="G15" s="22" t="s">
        <v>44</v>
      </c>
      <c r="H15" s="14"/>
      <c r="I15" s="14"/>
      <c r="K15" s="9"/>
      <c r="L15" s="9" t="s">
        <v>48</v>
      </c>
      <c r="M15" s="6">
        <v>2019</v>
      </c>
      <c r="N15" t="s">
        <v>49</v>
      </c>
      <c r="O15" s="9" t="s">
        <v>55</v>
      </c>
      <c r="P15" s="22" t="s">
        <v>44</v>
      </c>
      <c r="Q15" s="14"/>
      <c r="R15" s="14"/>
    </row>
    <row r="16" spans="2:28" ht="13.2">
      <c r="B16" s="9"/>
      <c r="C16" s="9" t="s">
        <v>48</v>
      </c>
      <c r="D16" s="6">
        <v>2020</v>
      </c>
      <c r="E16" t="s">
        <v>49</v>
      </c>
      <c r="F16" s="9" t="s">
        <v>27</v>
      </c>
      <c r="G16" s="22" t="s">
        <v>44</v>
      </c>
      <c r="H16" s="14"/>
      <c r="I16" s="14"/>
      <c r="K16" s="9"/>
      <c r="L16" s="9" t="s">
        <v>48</v>
      </c>
      <c r="M16" s="6">
        <v>2020</v>
      </c>
      <c r="N16" t="s">
        <v>49</v>
      </c>
      <c r="O16" s="9" t="s">
        <v>55</v>
      </c>
      <c r="P16" s="22" t="s">
        <v>44</v>
      </c>
      <c r="Q16" s="14"/>
      <c r="R16" s="14"/>
    </row>
    <row r="17" spans="2:18" ht="13.2">
      <c r="B17" s="9"/>
      <c r="C17" s="9" t="s">
        <v>48</v>
      </c>
      <c r="D17" s="6">
        <v>2021</v>
      </c>
      <c r="E17" t="s">
        <v>49</v>
      </c>
      <c r="F17" s="9" t="s">
        <v>27</v>
      </c>
      <c r="G17" s="22" t="s">
        <v>44</v>
      </c>
      <c r="H17" s="14"/>
      <c r="I17" s="14"/>
      <c r="K17" s="9"/>
      <c r="L17" s="9" t="s">
        <v>48</v>
      </c>
      <c r="M17" s="6">
        <v>2021</v>
      </c>
      <c r="N17" t="s">
        <v>49</v>
      </c>
      <c r="O17" s="9" t="s">
        <v>55</v>
      </c>
      <c r="P17" s="22" t="s">
        <v>44</v>
      </c>
      <c r="Q17" s="14"/>
      <c r="R17" s="14"/>
    </row>
    <row r="18" spans="2:18" ht="13.2">
      <c r="B18" s="9"/>
      <c r="C18" s="9" t="s">
        <v>48</v>
      </c>
      <c r="D18" s="6">
        <v>2022</v>
      </c>
      <c r="E18" t="s">
        <v>49</v>
      </c>
      <c r="F18" s="9" t="s">
        <v>27</v>
      </c>
      <c r="G18" s="22" t="s">
        <v>44</v>
      </c>
      <c r="H18" s="14"/>
      <c r="I18" s="14"/>
      <c r="K18" s="9"/>
      <c r="L18" s="9" t="s">
        <v>48</v>
      </c>
      <c r="M18" s="6">
        <v>2022</v>
      </c>
      <c r="N18" t="s">
        <v>49</v>
      </c>
      <c r="O18" s="9" t="s">
        <v>55</v>
      </c>
      <c r="P18" s="22" t="s">
        <v>44</v>
      </c>
      <c r="Q18" s="14"/>
      <c r="R18" s="14"/>
    </row>
    <row r="19" spans="2:18" ht="13.2">
      <c r="B19" s="9"/>
      <c r="C19" s="9" t="s">
        <v>48</v>
      </c>
      <c r="D19" s="6">
        <v>2023</v>
      </c>
      <c r="E19" t="s">
        <v>49</v>
      </c>
      <c r="F19" s="9" t="s">
        <v>27</v>
      </c>
      <c r="G19" s="22" t="s">
        <v>44</v>
      </c>
      <c r="H19" s="14"/>
      <c r="I19" s="14"/>
      <c r="K19" s="9"/>
      <c r="L19" s="9" t="s">
        <v>48</v>
      </c>
      <c r="M19" s="6">
        <v>2023</v>
      </c>
      <c r="N19" t="s">
        <v>49</v>
      </c>
      <c r="O19" s="9" t="s">
        <v>55</v>
      </c>
      <c r="P19" s="22" t="s">
        <v>44</v>
      </c>
      <c r="Q19" s="14"/>
      <c r="R19" s="14"/>
    </row>
    <row r="20" spans="2:18" ht="13.2">
      <c r="B20" s="9"/>
      <c r="C20" s="9" t="s">
        <v>48</v>
      </c>
      <c r="D20" s="6">
        <v>2024</v>
      </c>
      <c r="E20" t="s">
        <v>49</v>
      </c>
      <c r="F20" s="9" t="s">
        <v>27</v>
      </c>
      <c r="G20" s="22" t="s">
        <v>44</v>
      </c>
      <c r="H20" s="14"/>
      <c r="I20" s="14"/>
      <c r="K20" s="9"/>
      <c r="L20" s="9" t="s">
        <v>48</v>
      </c>
      <c r="M20" s="6">
        <v>2024</v>
      </c>
      <c r="N20" t="s">
        <v>49</v>
      </c>
      <c r="O20" s="9" t="s">
        <v>55</v>
      </c>
      <c r="P20" s="22" t="s">
        <v>44</v>
      </c>
      <c r="Q20" s="14"/>
      <c r="R20" s="14"/>
    </row>
    <row r="21" spans="2:18" ht="13.2">
      <c r="B21" s="9"/>
      <c r="C21" s="9" t="s">
        <v>48</v>
      </c>
      <c r="D21" s="6">
        <v>2025</v>
      </c>
      <c r="E21" t="s">
        <v>49</v>
      </c>
      <c r="F21" s="9" t="s">
        <v>27</v>
      </c>
      <c r="G21" s="22" t="s">
        <v>44</v>
      </c>
      <c r="H21" s="14"/>
      <c r="I21" s="14"/>
      <c r="K21" s="9"/>
      <c r="L21" s="9" t="s">
        <v>48</v>
      </c>
      <c r="M21" s="6">
        <v>2025</v>
      </c>
      <c r="N21" t="s">
        <v>49</v>
      </c>
      <c r="O21" s="9" t="s">
        <v>55</v>
      </c>
      <c r="P21" s="22" t="s">
        <v>44</v>
      </c>
      <c r="Q21" s="14"/>
      <c r="R21" s="14"/>
    </row>
    <row r="22" spans="2:18" ht="13.2">
      <c r="B22" s="9"/>
      <c r="C22" s="9" t="s">
        <v>48</v>
      </c>
      <c r="D22" s="6">
        <v>2026</v>
      </c>
      <c r="E22" t="s">
        <v>49</v>
      </c>
      <c r="F22" s="9" t="s">
        <v>27</v>
      </c>
      <c r="G22" s="22" t="s">
        <v>44</v>
      </c>
      <c r="H22" s="14"/>
      <c r="I22" s="14"/>
      <c r="K22" s="9"/>
      <c r="L22" s="9" t="s">
        <v>48</v>
      </c>
      <c r="M22" s="6">
        <v>2026</v>
      </c>
      <c r="N22" t="s">
        <v>49</v>
      </c>
      <c r="O22" s="9" t="s">
        <v>55</v>
      </c>
      <c r="P22" s="22" t="s">
        <v>44</v>
      </c>
      <c r="Q22" s="14"/>
      <c r="R22" s="14"/>
    </row>
    <row r="23" spans="2:18" ht="13.2">
      <c r="B23" s="9"/>
      <c r="C23" s="9" t="s">
        <v>48</v>
      </c>
      <c r="D23" s="6">
        <v>2027</v>
      </c>
      <c r="E23" t="s">
        <v>49</v>
      </c>
      <c r="F23" s="9" t="s">
        <v>27</v>
      </c>
      <c r="G23" s="22" t="s">
        <v>44</v>
      </c>
      <c r="H23" s="14"/>
      <c r="I23" s="14"/>
      <c r="K23" s="9"/>
      <c r="L23" s="9" t="s">
        <v>48</v>
      </c>
      <c r="M23" s="6">
        <v>2027</v>
      </c>
      <c r="N23" t="s">
        <v>49</v>
      </c>
      <c r="O23" s="9" t="s">
        <v>55</v>
      </c>
      <c r="P23" s="22" t="s">
        <v>44</v>
      </c>
      <c r="Q23" s="14"/>
      <c r="R23" s="14"/>
    </row>
    <row r="24" spans="2:18" ht="13.2">
      <c r="B24" s="9"/>
      <c r="C24" s="9" t="s">
        <v>48</v>
      </c>
      <c r="D24" s="6">
        <v>2028</v>
      </c>
      <c r="E24" t="s">
        <v>49</v>
      </c>
      <c r="F24" s="9" t="s">
        <v>27</v>
      </c>
      <c r="G24" s="22" t="s">
        <v>44</v>
      </c>
      <c r="H24" s="14"/>
      <c r="I24" s="14"/>
      <c r="K24" s="9"/>
      <c r="L24" s="9" t="s">
        <v>48</v>
      </c>
      <c r="M24" s="6">
        <v>2028</v>
      </c>
      <c r="N24" t="s">
        <v>49</v>
      </c>
      <c r="O24" s="9" t="s">
        <v>55</v>
      </c>
      <c r="P24" s="22" t="s">
        <v>44</v>
      </c>
      <c r="Q24" s="14"/>
      <c r="R24" s="14"/>
    </row>
    <row r="25" spans="2:18" ht="13.2">
      <c r="B25" s="9"/>
      <c r="C25" s="9" t="s">
        <v>48</v>
      </c>
      <c r="D25" s="6">
        <v>2029</v>
      </c>
      <c r="E25" t="s">
        <v>49</v>
      </c>
      <c r="F25" s="9" t="s">
        <v>27</v>
      </c>
      <c r="G25" s="22" t="s">
        <v>44</v>
      </c>
      <c r="H25" s="14"/>
      <c r="I25" s="14"/>
      <c r="K25" s="9"/>
      <c r="L25" s="9" t="s">
        <v>48</v>
      </c>
      <c r="M25" s="6">
        <v>2029</v>
      </c>
      <c r="N25" t="s">
        <v>49</v>
      </c>
      <c r="O25" s="9" t="s">
        <v>55</v>
      </c>
      <c r="P25" s="22" t="s">
        <v>44</v>
      </c>
      <c r="Q25" s="14"/>
      <c r="R25" s="14"/>
    </row>
    <row r="26" spans="2:18" ht="13.2">
      <c r="B26" s="9"/>
      <c r="C26" s="9" t="s">
        <v>48</v>
      </c>
      <c r="D26" s="6">
        <v>2030</v>
      </c>
      <c r="E26" t="s">
        <v>49</v>
      </c>
      <c r="F26" s="9" t="s">
        <v>27</v>
      </c>
      <c r="G26" s="22" t="s">
        <v>44</v>
      </c>
      <c r="H26" s="14"/>
      <c r="I26" s="14"/>
      <c r="K26" s="9"/>
      <c r="L26" s="9" t="s">
        <v>48</v>
      </c>
      <c r="M26" s="6">
        <v>2030</v>
      </c>
      <c r="N26" t="s">
        <v>49</v>
      </c>
      <c r="O26" s="9" t="s">
        <v>55</v>
      </c>
      <c r="P26" s="22" t="s">
        <v>44</v>
      </c>
      <c r="Q26" s="14"/>
      <c r="R26" s="14"/>
    </row>
    <row r="27" spans="2:18" ht="13.2">
      <c r="B27" s="9"/>
      <c r="C27" s="9" t="s">
        <v>48</v>
      </c>
      <c r="D27" s="6">
        <v>2031</v>
      </c>
      <c r="E27" t="s">
        <v>49</v>
      </c>
      <c r="F27" s="9" t="s">
        <v>27</v>
      </c>
      <c r="G27" s="22" t="s">
        <v>44</v>
      </c>
      <c r="H27" s="14"/>
      <c r="I27" s="14"/>
      <c r="K27" s="9"/>
      <c r="L27" s="9" t="s">
        <v>48</v>
      </c>
      <c r="M27" s="6">
        <v>2031</v>
      </c>
      <c r="N27" t="s">
        <v>49</v>
      </c>
      <c r="O27" s="9" t="s">
        <v>55</v>
      </c>
      <c r="P27" s="22" t="s">
        <v>44</v>
      </c>
      <c r="Q27" s="14"/>
      <c r="R27" s="14"/>
    </row>
    <row r="28" spans="2:18" ht="13.2">
      <c r="B28" s="9"/>
      <c r="C28" s="9" t="s">
        <v>48</v>
      </c>
      <c r="D28" s="6">
        <v>2032</v>
      </c>
      <c r="E28" t="s">
        <v>49</v>
      </c>
      <c r="F28" s="9" t="s">
        <v>27</v>
      </c>
      <c r="G28" s="22" t="s">
        <v>44</v>
      </c>
      <c r="H28" s="14"/>
      <c r="I28" s="14"/>
      <c r="K28" s="9"/>
      <c r="L28" s="9" t="s">
        <v>48</v>
      </c>
      <c r="M28" s="6">
        <v>2032</v>
      </c>
      <c r="N28" t="s">
        <v>49</v>
      </c>
      <c r="O28" s="9" t="s">
        <v>55</v>
      </c>
      <c r="P28" s="22" t="s">
        <v>44</v>
      </c>
      <c r="Q28" s="14"/>
      <c r="R28" s="14"/>
    </row>
    <row r="29" spans="2:18" ht="13.2">
      <c r="B29" s="9"/>
      <c r="C29" s="9" t="s">
        <v>48</v>
      </c>
      <c r="D29" s="6">
        <v>2033</v>
      </c>
      <c r="E29" t="s">
        <v>49</v>
      </c>
      <c r="F29" s="9" t="s">
        <v>27</v>
      </c>
      <c r="G29" s="22" t="s">
        <v>44</v>
      </c>
      <c r="H29" s="14"/>
      <c r="I29" s="14"/>
      <c r="K29" s="9"/>
      <c r="L29" s="9" t="s">
        <v>48</v>
      </c>
      <c r="M29" s="6">
        <v>2033</v>
      </c>
      <c r="N29" t="s">
        <v>49</v>
      </c>
      <c r="O29" s="9" t="s">
        <v>55</v>
      </c>
      <c r="P29" s="22" t="s">
        <v>44</v>
      </c>
      <c r="Q29" s="14"/>
      <c r="R29" s="14"/>
    </row>
    <row r="30" spans="2:18" ht="13.2">
      <c r="B30" s="9"/>
      <c r="C30" s="9" t="s">
        <v>48</v>
      </c>
      <c r="D30" s="6">
        <v>2034</v>
      </c>
      <c r="E30" t="s">
        <v>49</v>
      </c>
      <c r="F30" s="9" t="s">
        <v>27</v>
      </c>
      <c r="G30" s="22" t="s">
        <v>44</v>
      </c>
      <c r="H30" s="14"/>
      <c r="I30" s="14"/>
      <c r="K30" s="9"/>
      <c r="L30" s="9" t="s">
        <v>48</v>
      </c>
      <c r="M30" s="6">
        <v>2034</v>
      </c>
      <c r="N30" t="s">
        <v>49</v>
      </c>
      <c r="O30" s="9" t="s">
        <v>55</v>
      </c>
      <c r="P30" s="22" t="s">
        <v>44</v>
      </c>
      <c r="Q30" s="14"/>
      <c r="R30" s="14"/>
    </row>
    <row r="31" spans="2:18" ht="13.2">
      <c r="B31" s="9"/>
      <c r="C31" s="9" t="s">
        <v>48</v>
      </c>
      <c r="D31" s="6">
        <v>2035</v>
      </c>
      <c r="E31" t="s">
        <v>49</v>
      </c>
      <c r="F31" s="9" t="s">
        <v>27</v>
      </c>
      <c r="G31" s="22" t="s">
        <v>44</v>
      </c>
      <c r="H31" s="14"/>
      <c r="I31" s="14"/>
      <c r="K31" s="9"/>
      <c r="L31" s="9" t="s">
        <v>48</v>
      </c>
      <c r="M31" s="6">
        <v>2035</v>
      </c>
      <c r="N31" t="s">
        <v>49</v>
      </c>
      <c r="O31" s="9" t="s">
        <v>55</v>
      </c>
      <c r="P31" s="22" t="s">
        <v>44</v>
      </c>
      <c r="Q31" s="14"/>
      <c r="R31" s="14"/>
    </row>
    <row r="32" spans="2:18" ht="13.2">
      <c r="B32" s="9"/>
      <c r="C32" s="9" t="s">
        <v>48</v>
      </c>
      <c r="D32" s="6">
        <v>2036</v>
      </c>
      <c r="E32" t="s">
        <v>49</v>
      </c>
      <c r="F32" s="9" t="s">
        <v>27</v>
      </c>
      <c r="G32" s="22" t="s">
        <v>44</v>
      </c>
      <c r="H32" s="14"/>
      <c r="I32" s="14"/>
      <c r="K32" s="9"/>
      <c r="L32" s="9" t="s">
        <v>48</v>
      </c>
      <c r="M32" s="6">
        <v>2036</v>
      </c>
      <c r="N32" t="s">
        <v>49</v>
      </c>
      <c r="O32" s="9" t="s">
        <v>55</v>
      </c>
      <c r="P32" s="22" t="s">
        <v>44</v>
      </c>
      <c r="Q32" s="14"/>
      <c r="R32" s="14"/>
    </row>
    <row r="33" spans="2:18" ht="13.2">
      <c r="B33" s="9"/>
      <c r="C33" s="9" t="s">
        <v>48</v>
      </c>
      <c r="D33" s="6">
        <v>2037</v>
      </c>
      <c r="E33" t="s">
        <v>49</v>
      </c>
      <c r="F33" s="9" t="s">
        <v>27</v>
      </c>
      <c r="G33" s="22" t="s">
        <v>44</v>
      </c>
      <c r="H33" s="14"/>
      <c r="I33" s="14"/>
      <c r="K33" s="9"/>
      <c r="L33" s="9" t="s">
        <v>48</v>
      </c>
      <c r="M33" s="6">
        <v>2037</v>
      </c>
      <c r="N33" t="s">
        <v>49</v>
      </c>
      <c r="O33" s="9" t="s">
        <v>55</v>
      </c>
      <c r="P33" s="22" t="s">
        <v>44</v>
      </c>
      <c r="Q33" s="14"/>
      <c r="R33" s="14"/>
    </row>
    <row r="34" spans="2:18" ht="13.2">
      <c r="B34" s="9"/>
      <c r="C34" s="9" t="s">
        <v>48</v>
      </c>
      <c r="D34" s="6">
        <v>2038</v>
      </c>
      <c r="E34" t="s">
        <v>49</v>
      </c>
      <c r="F34" s="9" t="s">
        <v>27</v>
      </c>
      <c r="G34" s="22" t="s">
        <v>44</v>
      </c>
      <c r="H34" s="14"/>
      <c r="I34" s="14"/>
      <c r="K34" s="9"/>
      <c r="L34" s="9" t="s">
        <v>48</v>
      </c>
      <c r="M34" s="6">
        <v>2038</v>
      </c>
      <c r="N34" t="s">
        <v>49</v>
      </c>
      <c r="O34" s="9" t="s">
        <v>55</v>
      </c>
      <c r="P34" s="22" t="s">
        <v>44</v>
      </c>
      <c r="Q34" s="14"/>
      <c r="R34" s="14"/>
    </row>
    <row r="35" spans="2:18" ht="13.2">
      <c r="B35" s="9"/>
      <c r="C35" s="9" t="s">
        <v>48</v>
      </c>
      <c r="D35" s="6">
        <v>2039</v>
      </c>
      <c r="E35" t="s">
        <v>49</v>
      </c>
      <c r="F35" s="9" t="s">
        <v>27</v>
      </c>
      <c r="G35" s="22" t="s">
        <v>44</v>
      </c>
      <c r="H35" s="14"/>
      <c r="I35" s="14"/>
      <c r="K35" s="9"/>
      <c r="L35" s="9" t="s">
        <v>48</v>
      </c>
      <c r="M35" s="6">
        <v>2039</v>
      </c>
      <c r="N35" t="s">
        <v>49</v>
      </c>
      <c r="O35" s="9" t="s">
        <v>55</v>
      </c>
      <c r="P35" s="22" t="s">
        <v>44</v>
      </c>
      <c r="Q35" s="14"/>
      <c r="R35" s="14"/>
    </row>
    <row r="36" spans="2:18" ht="13.2">
      <c r="B36" s="9"/>
      <c r="C36" s="9" t="s">
        <v>48</v>
      </c>
      <c r="D36" s="6">
        <v>2040</v>
      </c>
      <c r="E36" t="s">
        <v>49</v>
      </c>
      <c r="F36" s="9" t="s">
        <v>27</v>
      </c>
      <c r="G36" s="22" t="s">
        <v>44</v>
      </c>
      <c r="H36" s="14"/>
      <c r="I36" s="14"/>
      <c r="K36" s="9"/>
      <c r="L36" s="9" t="s">
        <v>48</v>
      </c>
      <c r="M36" s="6">
        <v>2040</v>
      </c>
      <c r="N36" t="s">
        <v>49</v>
      </c>
      <c r="O36" s="9" t="s">
        <v>55</v>
      </c>
      <c r="P36" s="22" t="s">
        <v>44</v>
      </c>
      <c r="Q36" s="14"/>
      <c r="R36" s="14"/>
    </row>
    <row r="37" spans="2:18" ht="13.2">
      <c r="B37" s="9"/>
      <c r="C37" s="9" t="s">
        <v>48</v>
      </c>
      <c r="D37" s="6">
        <v>2041</v>
      </c>
      <c r="E37" t="s">
        <v>49</v>
      </c>
      <c r="F37" s="9" t="s">
        <v>27</v>
      </c>
      <c r="G37" s="22" t="s">
        <v>44</v>
      </c>
      <c r="H37" s="14"/>
      <c r="I37" s="14"/>
      <c r="K37" s="9"/>
      <c r="L37" s="9" t="s">
        <v>48</v>
      </c>
      <c r="M37" s="6">
        <v>2041</v>
      </c>
      <c r="N37" t="s">
        <v>49</v>
      </c>
      <c r="O37" s="9" t="s">
        <v>55</v>
      </c>
      <c r="P37" s="22" t="s">
        <v>44</v>
      </c>
      <c r="Q37" s="14"/>
      <c r="R37" s="14"/>
    </row>
    <row r="38" spans="2:18" ht="13.2">
      <c r="B38" s="9"/>
      <c r="C38" s="9" t="s">
        <v>48</v>
      </c>
      <c r="D38" s="6">
        <v>2042</v>
      </c>
      <c r="E38" t="s">
        <v>49</v>
      </c>
      <c r="F38" s="9" t="s">
        <v>27</v>
      </c>
      <c r="G38" s="22" t="s">
        <v>44</v>
      </c>
      <c r="H38" s="14"/>
      <c r="I38" s="14"/>
      <c r="K38" s="9"/>
      <c r="L38" s="9" t="s">
        <v>48</v>
      </c>
      <c r="M38" s="6">
        <v>2042</v>
      </c>
      <c r="N38" t="s">
        <v>49</v>
      </c>
      <c r="O38" s="9" t="s">
        <v>55</v>
      </c>
      <c r="P38" s="22" t="s">
        <v>44</v>
      </c>
      <c r="Q38" s="14"/>
      <c r="R38" s="14"/>
    </row>
    <row r="39" spans="2:18" ht="13.2">
      <c r="B39" s="9"/>
      <c r="C39" s="9" t="s">
        <v>48</v>
      </c>
      <c r="D39" s="6">
        <v>2043</v>
      </c>
      <c r="E39" t="s">
        <v>49</v>
      </c>
      <c r="F39" s="9" t="s">
        <v>27</v>
      </c>
      <c r="G39" s="22" t="s">
        <v>44</v>
      </c>
      <c r="H39" s="14"/>
      <c r="I39" s="14"/>
      <c r="K39" s="9"/>
      <c r="L39" s="9" t="s">
        <v>48</v>
      </c>
      <c r="M39" s="6">
        <v>2043</v>
      </c>
      <c r="N39" t="s">
        <v>49</v>
      </c>
      <c r="O39" s="9" t="s">
        <v>55</v>
      </c>
      <c r="P39" s="22" t="s">
        <v>44</v>
      </c>
      <c r="Q39" s="14"/>
      <c r="R39" s="14"/>
    </row>
    <row r="40" spans="2:18" ht="13.2">
      <c r="B40" s="9"/>
      <c r="C40" s="9" t="s">
        <v>48</v>
      </c>
      <c r="D40" s="6">
        <v>2044</v>
      </c>
      <c r="E40" t="s">
        <v>49</v>
      </c>
      <c r="F40" s="9" t="s">
        <v>27</v>
      </c>
      <c r="G40" s="22" t="s">
        <v>44</v>
      </c>
      <c r="H40" s="14"/>
      <c r="I40" s="14"/>
      <c r="K40" s="9"/>
      <c r="L40" s="9" t="s">
        <v>48</v>
      </c>
      <c r="M40" s="6">
        <v>2044</v>
      </c>
      <c r="N40" t="s">
        <v>49</v>
      </c>
      <c r="O40" s="9" t="s">
        <v>55</v>
      </c>
      <c r="P40" s="22" t="s">
        <v>44</v>
      </c>
      <c r="Q40" s="14"/>
      <c r="R40" s="14"/>
    </row>
    <row r="41" spans="2:18" ht="13.2">
      <c r="B41" s="9"/>
      <c r="C41" s="9" t="s">
        <v>48</v>
      </c>
      <c r="D41" s="6">
        <v>2045</v>
      </c>
      <c r="E41" t="s">
        <v>49</v>
      </c>
      <c r="F41" s="9" t="s">
        <v>27</v>
      </c>
      <c r="G41" s="22" t="s">
        <v>44</v>
      </c>
      <c r="H41" s="14"/>
      <c r="I41" s="14"/>
      <c r="K41" s="9"/>
      <c r="L41" s="9" t="s">
        <v>48</v>
      </c>
      <c r="M41" s="6">
        <v>2045</v>
      </c>
      <c r="N41" t="s">
        <v>49</v>
      </c>
      <c r="O41" s="9" t="s">
        <v>55</v>
      </c>
      <c r="P41" s="22" t="s">
        <v>44</v>
      </c>
      <c r="Q41" s="14"/>
      <c r="R41" s="14"/>
    </row>
    <row r="42" spans="2:18" ht="13.2">
      <c r="B42" s="9"/>
      <c r="C42" s="9" t="s">
        <v>48</v>
      </c>
      <c r="D42" s="6">
        <v>2046</v>
      </c>
      <c r="E42" t="s">
        <v>49</v>
      </c>
      <c r="F42" s="9" t="s">
        <v>27</v>
      </c>
      <c r="G42" s="22" t="s">
        <v>44</v>
      </c>
      <c r="H42" s="14"/>
      <c r="I42" s="14"/>
      <c r="K42" s="9"/>
      <c r="L42" s="9" t="s">
        <v>48</v>
      </c>
      <c r="M42" s="6">
        <v>2046</v>
      </c>
      <c r="N42" t="s">
        <v>49</v>
      </c>
      <c r="O42" s="9" t="s">
        <v>55</v>
      </c>
      <c r="P42" s="22" t="s">
        <v>44</v>
      </c>
      <c r="Q42" s="14"/>
      <c r="R42" s="14"/>
    </row>
    <row r="43" spans="2:18" ht="13.2">
      <c r="B43" s="9"/>
      <c r="C43" s="9" t="s">
        <v>48</v>
      </c>
      <c r="D43" s="6">
        <v>2047</v>
      </c>
      <c r="E43" t="s">
        <v>49</v>
      </c>
      <c r="F43" s="9" t="s">
        <v>27</v>
      </c>
      <c r="G43" s="22" t="s">
        <v>44</v>
      </c>
      <c r="H43" s="14"/>
      <c r="I43" s="14"/>
      <c r="K43" s="9"/>
      <c r="L43" s="9" t="s">
        <v>48</v>
      </c>
      <c r="M43" s="6">
        <v>2047</v>
      </c>
      <c r="N43" t="s">
        <v>49</v>
      </c>
      <c r="O43" s="9" t="s">
        <v>55</v>
      </c>
      <c r="P43" s="22" t="s">
        <v>44</v>
      </c>
      <c r="Q43" s="14"/>
      <c r="R43" s="14"/>
    </row>
    <row r="44" spans="2:18" ht="13.2">
      <c r="B44" s="9"/>
      <c r="C44" s="9" t="s">
        <v>48</v>
      </c>
      <c r="D44" s="6">
        <v>2048</v>
      </c>
      <c r="E44" t="s">
        <v>49</v>
      </c>
      <c r="F44" s="9" t="s">
        <v>27</v>
      </c>
      <c r="G44" s="22" t="s">
        <v>44</v>
      </c>
      <c r="H44" s="14"/>
      <c r="I44" s="14"/>
      <c r="K44" s="9"/>
      <c r="L44" s="9" t="s">
        <v>48</v>
      </c>
      <c r="M44" s="6">
        <v>2048</v>
      </c>
      <c r="N44" t="s">
        <v>49</v>
      </c>
      <c r="O44" s="9" t="s">
        <v>55</v>
      </c>
      <c r="P44" s="22" t="s">
        <v>44</v>
      </c>
      <c r="Q44" s="14"/>
      <c r="R44" s="14"/>
    </row>
    <row r="45" spans="2:18" ht="13.2">
      <c r="B45" s="9"/>
      <c r="C45" s="9" t="s">
        <v>48</v>
      </c>
      <c r="D45" s="6">
        <v>2049</v>
      </c>
      <c r="E45" t="s">
        <v>49</v>
      </c>
      <c r="F45" s="9" t="s">
        <v>27</v>
      </c>
      <c r="G45" s="22" t="s">
        <v>44</v>
      </c>
      <c r="H45" s="14"/>
      <c r="I45" s="14"/>
      <c r="K45" s="9"/>
      <c r="L45" s="9" t="s">
        <v>48</v>
      </c>
      <c r="M45" s="6">
        <v>2049</v>
      </c>
      <c r="N45" t="s">
        <v>49</v>
      </c>
      <c r="O45" s="9" t="s">
        <v>55</v>
      </c>
      <c r="P45" s="22" t="s">
        <v>44</v>
      </c>
      <c r="Q45" s="14"/>
      <c r="R45" s="14"/>
    </row>
    <row r="46" spans="2:18" ht="13.2">
      <c r="B46" s="7"/>
      <c r="C46" s="7" t="s">
        <v>48</v>
      </c>
      <c r="D46" s="8">
        <v>2050</v>
      </c>
      <c r="E46" s="7" t="s">
        <v>49</v>
      </c>
      <c r="F46" s="7" t="s">
        <v>27</v>
      </c>
      <c r="G46" s="23" t="s">
        <v>44</v>
      </c>
      <c r="H46" s="21"/>
      <c r="I46" s="19"/>
      <c r="K46" s="7"/>
      <c r="L46" s="7" t="s">
        <v>48</v>
      </c>
      <c r="M46" s="8">
        <v>2050</v>
      </c>
      <c r="N46" s="7" t="s">
        <v>49</v>
      </c>
      <c r="O46" s="7" t="s">
        <v>55</v>
      </c>
      <c r="P46" s="23" t="s">
        <v>44</v>
      </c>
      <c r="Q46" s="21"/>
      <c r="R46" s="19"/>
    </row>
    <row r="47" spans="2:18">
      <c r="D47" s="6"/>
      <c r="F47" s="9"/>
      <c r="G47" s="9"/>
      <c r="H47" s="14"/>
      <c r="I47" s="14"/>
      <c r="M47" s="6"/>
      <c r="P47" s="9"/>
      <c r="Q47" s="14"/>
      <c r="R47" s="14"/>
    </row>
    <row r="48" spans="2:18">
      <c r="D48" s="6"/>
      <c r="F48" s="9"/>
      <c r="G48" s="9"/>
      <c r="H48" s="14"/>
      <c r="I48" s="14"/>
      <c r="M48" s="6"/>
      <c r="P48" s="9"/>
      <c r="Q48" s="14"/>
      <c r="R48" s="14"/>
    </row>
    <row r="49" spans="2:18">
      <c r="D49" s="6"/>
      <c r="F49" s="9"/>
      <c r="G49" s="9"/>
      <c r="H49" s="14"/>
      <c r="I49" s="14"/>
      <c r="M49" s="6"/>
      <c r="P49" s="9"/>
      <c r="Q49" s="14"/>
      <c r="R49" s="14"/>
    </row>
    <row r="50" spans="2:18">
      <c r="D50" s="6"/>
      <c r="F50" s="9"/>
      <c r="G50" s="9"/>
      <c r="H50" s="14"/>
      <c r="I50" s="14"/>
      <c r="M50" s="6"/>
      <c r="P50" s="9"/>
      <c r="Q50" s="14"/>
      <c r="R50" s="14"/>
    </row>
    <row r="51" spans="2:18">
      <c r="B51" s="9"/>
      <c r="C51" s="9"/>
      <c r="D51" s="6"/>
      <c r="E51" s="9"/>
      <c r="F51" s="9"/>
      <c r="G51" s="9"/>
      <c r="H51" s="14"/>
      <c r="I51" s="14"/>
      <c r="K51" s="9"/>
      <c r="L51" s="9"/>
      <c r="M51" s="6"/>
      <c r="N51" s="9"/>
      <c r="P51" s="9"/>
      <c r="Q51" s="14"/>
      <c r="R51" s="14"/>
    </row>
    <row r="52" spans="2:18">
      <c r="B52" s="9"/>
      <c r="C52" s="9"/>
      <c r="D52" s="6"/>
      <c r="E52" s="9"/>
      <c r="F52" s="9"/>
      <c r="G52" s="9"/>
      <c r="H52" s="14"/>
      <c r="I52" s="14"/>
      <c r="K52" s="9"/>
      <c r="L52" s="9"/>
      <c r="M52" s="6"/>
      <c r="N52" s="9"/>
      <c r="P52" s="9"/>
      <c r="Q52" s="14"/>
      <c r="R52" s="14"/>
    </row>
    <row r="53" spans="2:18">
      <c r="B53" s="9"/>
      <c r="C53" s="9"/>
      <c r="D53" s="6"/>
      <c r="E53" s="9"/>
      <c r="F53" s="9"/>
      <c r="G53" s="9"/>
      <c r="H53" s="14"/>
      <c r="I53" s="14"/>
      <c r="K53" s="9"/>
      <c r="L53" s="9"/>
      <c r="M53" s="6"/>
      <c r="N53" s="9"/>
      <c r="P53" s="9"/>
      <c r="Q53" s="14"/>
      <c r="R53" s="14"/>
    </row>
    <row r="54" spans="2:18">
      <c r="B54" s="9"/>
      <c r="C54" s="9"/>
      <c r="D54" s="6"/>
      <c r="E54" s="9"/>
      <c r="F54" s="9"/>
      <c r="G54" s="9"/>
      <c r="H54" s="14"/>
      <c r="I54" s="14"/>
      <c r="K54" s="9"/>
      <c r="L54" s="9"/>
      <c r="M54" s="6"/>
      <c r="N54" s="9"/>
      <c r="P54" s="9"/>
      <c r="Q54" s="14"/>
      <c r="R54" s="14"/>
    </row>
    <row r="55" spans="2:18">
      <c r="B55" s="9"/>
      <c r="C55" s="9"/>
      <c r="D55" s="6"/>
      <c r="E55" s="9"/>
      <c r="F55" s="9"/>
      <c r="G55" s="9"/>
      <c r="H55" s="14"/>
      <c r="I55" s="14"/>
      <c r="K55" s="9"/>
      <c r="L55" s="9"/>
      <c r="M55" s="6"/>
      <c r="N55" s="9"/>
      <c r="P55" s="9"/>
      <c r="Q55" s="14"/>
      <c r="R55" s="14"/>
    </row>
    <row r="56" spans="2:18">
      <c r="B56" s="9"/>
      <c r="C56" s="9"/>
      <c r="D56" s="6"/>
      <c r="E56" s="9"/>
      <c r="F56" s="9"/>
      <c r="G56" s="9"/>
      <c r="H56" s="14"/>
      <c r="I56" s="14"/>
      <c r="K56" s="9"/>
      <c r="L56" s="9"/>
      <c r="M56" s="6"/>
      <c r="N56" s="9"/>
      <c r="P56" s="9"/>
      <c r="Q56" s="14"/>
      <c r="R56" s="14"/>
    </row>
    <row r="57" spans="2:18">
      <c r="B57" s="9"/>
      <c r="C57" s="9"/>
      <c r="D57" s="6"/>
      <c r="E57" s="9"/>
      <c r="F57" s="9"/>
      <c r="G57" s="9"/>
      <c r="H57" s="14"/>
      <c r="I57" s="14"/>
      <c r="K57" s="9"/>
      <c r="L57" s="9"/>
      <c r="M57" s="6"/>
      <c r="N57" s="9"/>
      <c r="P57" s="9"/>
      <c r="Q57" s="14"/>
      <c r="R57" s="14"/>
    </row>
    <row r="58" spans="2:18">
      <c r="B58" s="9"/>
      <c r="C58" s="9"/>
      <c r="D58" s="6"/>
      <c r="E58" s="9"/>
      <c r="F58" s="9"/>
      <c r="G58" s="9"/>
      <c r="H58" s="14"/>
      <c r="I58" s="14"/>
      <c r="K58" s="9"/>
      <c r="L58" s="9"/>
      <c r="M58" s="6"/>
      <c r="N58" s="9"/>
      <c r="P58" s="9"/>
      <c r="Q58" s="14"/>
      <c r="R58" s="14"/>
    </row>
    <row r="59" spans="2:18">
      <c r="B59" s="9"/>
      <c r="C59" s="9"/>
      <c r="D59" s="6"/>
      <c r="E59" s="9"/>
      <c r="F59" s="9"/>
      <c r="G59" s="9"/>
      <c r="H59" s="14"/>
      <c r="I59" s="14"/>
      <c r="K59" s="9"/>
      <c r="L59" s="9"/>
      <c r="M59" s="6"/>
      <c r="N59" s="9"/>
      <c r="P59" s="9"/>
      <c r="Q59" s="14"/>
      <c r="R59" s="14"/>
    </row>
    <row r="60" spans="2:18">
      <c r="B60" s="9"/>
      <c r="C60" s="9"/>
      <c r="D60" s="6"/>
      <c r="E60" s="9"/>
      <c r="F60" s="9"/>
      <c r="G60" s="9"/>
      <c r="H60" s="14"/>
      <c r="I60" s="14"/>
      <c r="K60" s="9"/>
      <c r="L60" s="9"/>
      <c r="M60" s="6"/>
      <c r="N60" s="9"/>
      <c r="P60" s="9"/>
      <c r="Q60" s="14"/>
      <c r="R60" s="14"/>
    </row>
    <row r="61" spans="2:18">
      <c r="B61" s="9"/>
      <c r="C61" s="9"/>
      <c r="D61" s="6"/>
      <c r="E61" s="9"/>
      <c r="F61" s="9"/>
      <c r="G61" s="9"/>
      <c r="H61" s="14"/>
      <c r="I61" s="14"/>
      <c r="K61" s="9"/>
      <c r="L61" s="9"/>
      <c r="M61" s="6"/>
      <c r="N61" s="9"/>
      <c r="P61" s="9"/>
      <c r="Q61" s="14"/>
      <c r="R61" s="14"/>
    </row>
    <row r="62" spans="2:18">
      <c r="D62" s="6"/>
      <c r="F62" s="9"/>
      <c r="G62" s="9"/>
      <c r="H62" s="14"/>
      <c r="I62" s="14"/>
      <c r="M62" s="6"/>
      <c r="P62" s="9"/>
      <c r="Q62" s="14"/>
      <c r="R62" s="14"/>
    </row>
    <row r="63" spans="2:18">
      <c r="D63" s="6"/>
      <c r="F63" s="9"/>
      <c r="G63" s="9"/>
      <c r="H63" s="14"/>
      <c r="I63" s="14"/>
      <c r="M63" s="6"/>
      <c r="P63" s="9"/>
      <c r="Q63" s="14"/>
      <c r="R63" s="14"/>
    </row>
    <row r="64" spans="2:18">
      <c r="D64" s="6"/>
      <c r="F64" s="9"/>
      <c r="G64" s="9"/>
      <c r="H64" s="14"/>
      <c r="I64" s="14"/>
      <c r="M64" s="6"/>
      <c r="P64" s="9"/>
      <c r="Q64" s="14"/>
      <c r="R64" s="14"/>
    </row>
    <row r="65" spans="4:18">
      <c r="D65" s="6"/>
      <c r="F65" s="9"/>
      <c r="G65" s="9"/>
      <c r="H65" s="14"/>
      <c r="I65" s="14"/>
      <c r="M65" s="6"/>
      <c r="P65" s="9"/>
      <c r="Q65" s="14"/>
      <c r="R65" s="14"/>
    </row>
    <row r="66" spans="4:18">
      <c r="D66" s="6"/>
      <c r="F66" s="9"/>
      <c r="G66" s="9"/>
      <c r="H66" s="14"/>
      <c r="I66" s="14"/>
      <c r="M66" s="6"/>
      <c r="P66" s="9"/>
      <c r="Q66" s="14"/>
      <c r="R66" s="14"/>
    </row>
    <row r="67" spans="4:18">
      <c r="D67" s="6"/>
      <c r="F67" s="9"/>
      <c r="G67" s="9"/>
      <c r="H67" s="14"/>
      <c r="I67" s="14"/>
      <c r="M67" s="6"/>
      <c r="P67" s="9"/>
      <c r="Q67" s="14"/>
      <c r="R67" s="14"/>
    </row>
    <row r="68" spans="4:18">
      <c r="D68" s="6"/>
      <c r="F68" s="9"/>
      <c r="G68" s="9"/>
      <c r="H68" s="14"/>
      <c r="I68" s="14"/>
      <c r="M68" s="6"/>
      <c r="P68" s="9"/>
      <c r="Q68" s="14"/>
      <c r="R68" s="14"/>
    </row>
    <row r="69" spans="4:18">
      <c r="D69" s="6"/>
      <c r="F69" s="9"/>
      <c r="G69" s="9"/>
      <c r="H69" s="14"/>
      <c r="I69" s="14"/>
      <c r="M69" s="6"/>
      <c r="P69" s="9"/>
      <c r="Q69" s="14"/>
      <c r="R69" s="14"/>
    </row>
    <row r="70" spans="4:18">
      <c r="D70" s="6"/>
      <c r="F70" s="9"/>
      <c r="G70" s="9"/>
      <c r="H70" s="14"/>
      <c r="I70" s="14"/>
      <c r="M70" s="6"/>
      <c r="P70" s="9"/>
      <c r="Q70" s="14"/>
      <c r="R70" s="14"/>
    </row>
    <row r="71" spans="4:18">
      <c r="D71" s="6"/>
      <c r="F71" s="9"/>
      <c r="G71" s="9"/>
      <c r="H71" s="14"/>
      <c r="I71" s="14"/>
      <c r="M71" s="6"/>
      <c r="P71" s="9"/>
      <c r="Q71" s="14"/>
      <c r="R71" s="14"/>
    </row>
    <row r="72" spans="4:18">
      <c r="D72" s="6"/>
      <c r="F72" s="9"/>
      <c r="G72" s="9"/>
      <c r="H72" s="14"/>
      <c r="I72" s="14"/>
      <c r="M72" s="6"/>
      <c r="P72" s="9"/>
      <c r="Q72" s="14"/>
      <c r="R72" s="14"/>
    </row>
    <row r="73" spans="4:18">
      <c r="D73" s="6"/>
      <c r="F73" s="9"/>
      <c r="G73" s="9"/>
      <c r="H73" s="14"/>
      <c r="I73" s="14"/>
      <c r="M73" s="6"/>
      <c r="P73" s="9"/>
      <c r="Q73" s="14"/>
      <c r="R73" s="14"/>
    </row>
    <row r="74" spans="4:18">
      <c r="D74" s="6"/>
      <c r="F74" s="9"/>
      <c r="G74" s="9"/>
      <c r="H74" s="14"/>
      <c r="I74" s="14"/>
      <c r="M74" s="6"/>
      <c r="P74" s="9"/>
      <c r="Q74" s="14"/>
      <c r="R74" s="14"/>
    </row>
    <row r="75" spans="4:18">
      <c r="D75" s="6"/>
      <c r="F75" s="9"/>
      <c r="G75" s="9"/>
      <c r="H75" s="14"/>
      <c r="I75" s="14"/>
      <c r="M75" s="6"/>
      <c r="P75" s="9"/>
      <c r="Q75" s="14"/>
      <c r="R75" s="14"/>
    </row>
    <row r="76" spans="4:18">
      <c r="D76" s="6"/>
      <c r="F76" s="9"/>
      <c r="G76" s="9"/>
      <c r="H76" s="14"/>
      <c r="I76" s="14"/>
      <c r="M76" s="6"/>
      <c r="P76" s="9"/>
      <c r="Q76" s="14"/>
      <c r="R76" s="14"/>
    </row>
    <row r="77" spans="4:18">
      <c r="D77" s="6"/>
      <c r="F77" s="9"/>
      <c r="G77" s="9"/>
      <c r="H77" s="14"/>
      <c r="I77" s="14"/>
      <c r="M77" s="6"/>
      <c r="P77" s="9"/>
      <c r="Q77" s="14"/>
      <c r="R77" s="14"/>
    </row>
    <row r="78" spans="4:18">
      <c r="D78" s="6"/>
      <c r="F78" s="9"/>
      <c r="G78" s="9"/>
      <c r="H78" s="14"/>
      <c r="I78" s="14"/>
      <c r="M78" s="6"/>
      <c r="P78" s="9"/>
      <c r="Q78" s="14"/>
      <c r="R78" s="14"/>
    </row>
    <row r="79" spans="4:18">
      <c r="D79" s="6"/>
      <c r="F79" s="9"/>
      <c r="G79" s="9"/>
      <c r="H79" s="14"/>
      <c r="I79" s="14"/>
      <c r="M79" s="6"/>
      <c r="P79" s="9"/>
      <c r="Q79" s="14"/>
      <c r="R79" s="14"/>
    </row>
    <row r="80" spans="4:18">
      <c r="D80" s="6"/>
      <c r="F80" s="9"/>
      <c r="G80" s="9"/>
      <c r="H80" s="14"/>
      <c r="I80" s="14"/>
      <c r="M80" s="6"/>
      <c r="P80" s="9"/>
      <c r="Q80" s="14"/>
      <c r="R80" s="14"/>
    </row>
    <row r="81" spans="2:18">
      <c r="D81" s="6"/>
      <c r="F81" s="9"/>
      <c r="G81" s="9"/>
      <c r="H81" s="14"/>
      <c r="I81" s="14"/>
      <c r="M81" s="6"/>
      <c r="P81" s="9"/>
      <c r="Q81" s="14"/>
      <c r="R81" s="14"/>
    </row>
    <row r="82" spans="2:18">
      <c r="D82" s="6"/>
      <c r="F82" s="9"/>
      <c r="G82" s="9"/>
      <c r="H82" s="14"/>
      <c r="I82" s="14"/>
      <c r="M82" s="6"/>
      <c r="P82" s="9"/>
      <c r="Q82" s="14"/>
      <c r="R82" s="14"/>
    </row>
    <row r="83" spans="2:18">
      <c r="D83" s="6"/>
      <c r="F83" s="9"/>
      <c r="G83" s="9"/>
      <c r="H83" s="14"/>
      <c r="I83" s="14"/>
      <c r="M83" s="6"/>
      <c r="P83" s="9"/>
      <c r="Q83" s="14"/>
      <c r="R83" s="14"/>
    </row>
    <row r="84" spans="2:18">
      <c r="D84" s="6"/>
      <c r="F84" s="9"/>
      <c r="G84" s="9"/>
      <c r="H84" s="14"/>
      <c r="I84" s="14"/>
      <c r="M84" s="6"/>
      <c r="P84" s="9"/>
      <c r="Q84" s="14"/>
      <c r="R84" s="14"/>
    </row>
    <row r="85" spans="2:18">
      <c r="D85" s="6"/>
      <c r="F85" s="9"/>
      <c r="G85" s="9"/>
      <c r="H85" s="14"/>
      <c r="I85" s="14"/>
      <c r="M85" s="6"/>
      <c r="P85" s="9"/>
      <c r="Q85" s="14"/>
      <c r="R85" s="14"/>
    </row>
    <row r="86" spans="2:18">
      <c r="D86" s="6"/>
      <c r="F86" s="9"/>
      <c r="G86" s="9"/>
      <c r="H86" s="14"/>
      <c r="I86" s="14"/>
      <c r="M86" s="6"/>
      <c r="P86" s="9"/>
      <c r="Q86" s="14"/>
      <c r="R86" s="14"/>
    </row>
    <row r="87" spans="2:18">
      <c r="B87" s="7"/>
      <c r="C87" s="7"/>
      <c r="D87" s="6"/>
      <c r="E87" s="7"/>
      <c r="F87" s="7"/>
      <c r="G87" s="9"/>
      <c r="H87" s="14"/>
      <c r="I87" s="14"/>
      <c r="K87" s="7"/>
      <c r="L87" s="7"/>
      <c r="M87" s="6"/>
      <c r="N87" s="7"/>
      <c r="P87" s="9"/>
      <c r="Q87" s="14"/>
      <c r="R87" s="14"/>
    </row>
    <row r="88" spans="2:18">
      <c r="D88" s="6"/>
      <c r="H88" s="14"/>
      <c r="I88" s="14"/>
      <c r="M88" s="6"/>
      <c r="Q88" s="14"/>
      <c r="R88" s="14"/>
    </row>
    <row r="89" spans="2:18">
      <c r="D89" s="6"/>
      <c r="H89" s="14"/>
      <c r="I89" s="14"/>
      <c r="M89" s="6"/>
      <c r="Q89" s="14"/>
      <c r="R89" s="14"/>
    </row>
    <row r="90" spans="2:18">
      <c r="D90" s="6"/>
      <c r="F90" s="9"/>
      <c r="G90" s="9"/>
      <c r="H90" s="14"/>
      <c r="I90" s="14"/>
      <c r="M90" s="6"/>
      <c r="P90" s="9"/>
      <c r="Q90" s="14"/>
      <c r="R90" s="14"/>
    </row>
    <row r="91" spans="2:18">
      <c r="D91" s="6"/>
      <c r="F91" s="9"/>
      <c r="G91" s="9"/>
      <c r="H91" s="14"/>
      <c r="I91" s="14"/>
      <c r="M91" s="6"/>
      <c r="P91" s="9"/>
      <c r="Q91" s="14"/>
      <c r="R91" s="14"/>
    </row>
    <row r="92" spans="2:18">
      <c r="D92" s="6"/>
      <c r="F92" s="9"/>
      <c r="G92" s="9"/>
      <c r="H92" s="14"/>
      <c r="I92" s="14"/>
      <c r="M92" s="6"/>
      <c r="P92" s="9"/>
      <c r="Q92" s="14"/>
      <c r="R92" s="14"/>
    </row>
    <row r="93" spans="2:18">
      <c r="D93" s="6"/>
      <c r="F93" s="9"/>
      <c r="G93" s="9"/>
      <c r="H93" s="14"/>
      <c r="I93" s="14"/>
      <c r="M93" s="6"/>
      <c r="P93" s="9"/>
      <c r="Q93" s="14"/>
      <c r="R93" s="14"/>
    </row>
    <row r="94" spans="2:18">
      <c r="D94" s="6"/>
      <c r="F94" s="9"/>
      <c r="G94" s="9"/>
      <c r="H94" s="14"/>
      <c r="I94" s="14"/>
      <c r="M94" s="6"/>
      <c r="P94" s="9"/>
      <c r="Q94" s="14"/>
      <c r="R94" s="14"/>
    </row>
    <row r="95" spans="2:18">
      <c r="D95" s="6"/>
      <c r="F95" s="9"/>
      <c r="G95" s="9"/>
      <c r="H95" s="14"/>
      <c r="I95" s="14"/>
      <c r="M95" s="6"/>
      <c r="P95" s="9"/>
      <c r="Q95" s="14"/>
      <c r="R95" s="14"/>
    </row>
    <row r="96" spans="2:18">
      <c r="D96" s="6"/>
      <c r="F96" s="9"/>
      <c r="G96" s="9"/>
      <c r="H96" s="14"/>
      <c r="I96" s="14"/>
      <c r="M96" s="6"/>
      <c r="P96" s="9"/>
      <c r="Q96" s="14"/>
      <c r="R96" s="14"/>
    </row>
    <row r="97" spans="4:18">
      <c r="D97" s="6"/>
      <c r="F97" s="9"/>
      <c r="G97" s="9"/>
      <c r="H97" s="14"/>
      <c r="I97" s="14"/>
      <c r="M97" s="6"/>
      <c r="P97" s="9"/>
      <c r="Q97" s="14"/>
      <c r="R97" s="14"/>
    </row>
    <row r="98" spans="4:18">
      <c r="D98" s="6"/>
      <c r="F98" s="9"/>
      <c r="G98" s="9"/>
      <c r="H98" s="14"/>
      <c r="I98" s="14"/>
      <c r="M98" s="6"/>
      <c r="P98" s="9"/>
      <c r="Q98" s="14"/>
      <c r="R98" s="14"/>
    </row>
    <row r="99" spans="4:18">
      <c r="D99" s="6"/>
      <c r="F99" s="9"/>
      <c r="G99" s="9"/>
      <c r="H99" s="14"/>
      <c r="I99" s="14"/>
      <c r="M99" s="6"/>
      <c r="P99" s="9"/>
      <c r="Q99" s="14"/>
      <c r="R99" s="14"/>
    </row>
    <row r="100" spans="4:18">
      <c r="D100" s="6"/>
      <c r="F100" s="9"/>
      <c r="G100" s="9"/>
      <c r="H100" s="14"/>
      <c r="I100" s="14"/>
      <c r="M100" s="6"/>
      <c r="P100" s="9"/>
      <c r="Q100" s="14"/>
      <c r="R100" s="14"/>
    </row>
    <row r="101" spans="4:18">
      <c r="D101" s="6"/>
      <c r="F101" s="9"/>
      <c r="G101" s="9"/>
      <c r="H101" s="14"/>
      <c r="I101" s="14"/>
      <c r="M101" s="6"/>
      <c r="P101" s="9"/>
      <c r="Q101" s="14"/>
      <c r="R101" s="14"/>
    </row>
    <row r="102" spans="4:18">
      <c r="D102" s="6"/>
      <c r="F102" s="9"/>
      <c r="G102" s="9"/>
      <c r="H102" s="14"/>
      <c r="I102" s="14"/>
      <c r="M102" s="6"/>
      <c r="P102" s="9"/>
      <c r="Q102" s="14"/>
      <c r="R102" s="14"/>
    </row>
    <row r="103" spans="4:18">
      <c r="D103" s="6"/>
      <c r="F103" s="9"/>
      <c r="G103" s="9"/>
      <c r="H103" s="14"/>
      <c r="I103" s="14"/>
      <c r="M103" s="6"/>
      <c r="P103" s="9"/>
      <c r="Q103" s="14"/>
      <c r="R103" s="14"/>
    </row>
    <row r="104" spans="4:18">
      <c r="D104" s="6"/>
      <c r="F104" s="9"/>
      <c r="G104" s="9"/>
      <c r="H104" s="14"/>
      <c r="I104" s="14"/>
      <c r="M104" s="6"/>
      <c r="P104" s="9"/>
      <c r="Q104" s="14"/>
      <c r="R104" s="14"/>
    </row>
    <row r="105" spans="4:18">
      <c r="D105" s="6"/>
      <c r="F105" s="9"/>
      <c r="G105" s="9"/>
      <c r="H105" s="14"/>
      <c r="I105" s="14"/>
      <c r="M105" s="6"/>
      <c r="P105" s="9"/>
      <c r="Q105" s="14"/>
      <c r="R105" s="14"/>
    </row>
    <row r="106" spans="4:18">
      <c r="D106" s="6"/>
      <c r="F106" s="9"/>
      <c r="G106" s="9"/>
      <c r="H106" s="14"/>
      <c r="I106" s="14"/>
      <c r="M106" s="6"/>
      <c r="P106" s="9"/>
      <c r="Q106" s="14"/>
      <c r="R106" s="14"/>
    </row>
    <row r="107" spans="4:18">
      <c r="D107" s="6"/>
      <c r="F107" s="9"/>
      <c r="G107" s="9"/>
      <c r="H107" s="14"/>
      <c r="I107" s="14"/>
      <c r="M107" s="6"/>
      <c r="P107" s="9"/>
      <c r="Q107" s="14"/>
      <c r="R107" s="14"/>
    </row>
    <row r="108" spans="4:18">
      <c r="D108" s="6"/>
      <c r="F108" s="9"/>
      <c r="G108" s="9"/>
      <c r="H108" s="14"/>
      <c r="I108" s="14"/>
      <c r="M108" s="6"/>
      <c r="P108" s="9"/>
      <c r="Q108" s="14"/>
      <c r="R108" s="14"/>
    </row>
    <row r="109" spans="4:18">
      <c r="D109" s="6"/>
      <c r="F109" s="9"/>
      <c r="G109" s="9"/>
      <c r="H109" s="14"/>
      <c r="I109" s="14"/>
      <c r="M109" s="6"/>
      <c r="P109" s="9"/>
      <c r="Q109" s="14"/>
      <c r="R109" s="14"/>
    </row>
    <row r="110" spans="4:18">
      <c r="D110" s="6"/>
      <c r="F110" s="9"/>
      <c r="G110" s="9"/>
      <c r="H110" s="14"/>
      <c r="I110" s="14"/>
      <c r="M110" s="6"/>
      <c r="P110" s="9"/>
      <c r="Q110" s="14"/>
      <c r="R110" s="14"/>
    </row>
    <row r="111" spans="4:18">
      <c r="D111" s="6"/>
      <c r="F111" s="9"/>
      <c r="G111" s="9"/>
      <c r="H111" s="14"/>
      <c r="I111" s="14"/>
      <c r="M111" s="6"/>
      <c r="P111" s="9"/>
      <c r="Q111" s="14"/>
      <c r="R111" s="14"/>
    </row>
    <row r="112" spans="4:18">
      <c r="D112" s="6"/>
      <c r="F112" s="9"/>
      <c r="G112" s="9"/>
      <c r="H112" s="14"/>
      <c r="I112" s="14"/>
      <c r="M112" s="6"/>
      <c r="P112" s="9"/>
      <c r="Q112" s="14"/>
      <c r="R112" s="14"/>
    </row>
    <row r="113" spans="2:18">
      <c r="D113" s="6"/>
      <c r="F113" s="9"/>
      <c r="G113" s="9"/>
      <c r="H113" s="14"/>
      <c r="I113" s="14"/>
      <c r="M113" s="6"/>
      <c r="P113" s="9"/>
      <c r="Q113" s="14"/>
      <c r="R113" s="14"/>
    </row>
    <row r="114" spans="2:18">
      <c r="D114" s="6"/>
      <c r="F114" s="9"/>
      <c r="G114" s="9"/>
      <c r="H114" s="14"/>
      <c r="I114" s="14"/>
      <c r="M114" s="6"/>
      <c r="P114" s="9"/>
      <c r="Q114" s="14"/>
      <c r="R114" s="14"/>
    </row>
    <row r="115" spans="2:18">
      <c r="D115" s="6"/>
      <c r="F115" s="9"/>
      <c r="G115" s="9"/>
      <c r="H115" s="14"/>
      <c r="I115" s="14"/>
      <c r="M115" s="6"/>
      <c r="P115" s="9"/>
      <c r="Q115" s="14"/>
      <c r="R115" s="14"/>
    </row>
    <row r="116" spans="2:18">
      <c r="D116" s="6"/>
      <c r="F116" s="9"/>
      <c r="G116" s="9"/>
      <c r="H116" s="14"/>
      <c r="I116" s="14"/>
      <c r="M116" s="6"/>
      <c r="P116" s="9"/>
      <c r="Q116" s="14"/>
      <c r="R116" s="14"/>
    </row>
    <row r="117" spans="2:18">
      <c r="D117" s="6"/>
      <c r="F117" s="9"/>
      <c r="G117" s="9"/>
      <c r="H117" s="14"/>
      <c r="I117" s="14"/>
      <c r="M117" s="6"/>
      <c r="P117" s="9"/>
      <c r="Q117" s="14"/>
      <c r="R117" s="14"/>
    </row>
    <row r="118" spans="2:18">
      <c r="D118" s="6"/>
      <c r="F118" s="9"/>
      <c r="G118" s="9"/>
      <c r="H118" s="14"/>
      <c r="I118" s="14"/>
      <c r="M118" s="6"/>
      <c r="P118" s="9"/>
      <c r="Q118" s="14"/>
      <c r="R118" s="14"/>
    </row>
    <row r="119" spans="2:18">
      <c r="D119" s="6"/>
      <c r="F119" s="9"/>
      <c r="G119" s="9"/>
      <c r="H119" s="14"/>
      <c r="I119" s="14"/>
      <c r="M119" s="6"/>
      <c r="P119" s="9"/>
      <c r="Q119" s="14"/>
      <c r="R119" s="14"/>
    </row>
    <row r="120" spans="2:18">
      <c r="D120" s="6"/>
      <c r="F120" s="9"/>
      <c r="G120" s="9"/>
      <c r="H120" s="14"/>
      <c r="I120" s="14"/>
      <c r="M120" s="6"/>
      <c r="P120" s="9"/>
      <c r="Q120" s="14"/>
      <c r="R120" s="14"/>
    </row>
    <row r="121" spans="2:18">
      <c r="D121" s="6"/>
      <c r="F121" s="9"/>
      <c r="G121" s="9"/>
      <c r="H121" s="14"/>
      <c r="I121" s="14"/>
      <c r="M121" s="6"/>
      <c r="P121" s="9"/>
      <c r="Q121" s="14"/>
      <c r="R121" s="14"/>
    </row>
    <row r="122" spans="2:18">
      <c r="D122" s="6"/>
      <c r="F122" s="9"/>
      <c r="G122" s="9"/>
      <c r="H122" s="14"/>
      <c r="I122" s="14"/>
      <c r="M122" s="6"/>
      <c r="P122" s="9"/>
      <c r="Q122" s="14"/>
      <c r="R122" s="14"/>
    </row>
    <row r="123" spans="2:18">
      <c r="D123" s="6"/>
      <c r="F123" s="9"/>
      <c r="G123" s="9"/>
      <c r="H123" s="14"/>
      <c r="I123" s="14"/>
      <c r="M123" s="6"/>
      <c r="P123" s="9"/>
      <c r="Q123" s="14"/>
      <c r="R123" s="14"/>
    </row>
    <row r="124" spans="2:18">
      <c r="D124" s="6"/>
      <c r="F124" s="9"/>
      <c r="G124" s="9"/>
      <c r="H124" s="14"/>
      <c r="I124" s="14"/>
      <c r="M124" s="6"/>
      <c r="P124" s="9"/>
      <c r="Q124" s="14"/>
      <c r="R124" s="14"/>
    </row>
    <row r="125" spans="2:18">
      <c r="D125" s="6"/>
      <c r="F125" s="9"/>
      <c r="G125" s="9"/>
      <c r="H125" s="14"/>
      <c r="I125" s="14"/>
      <c r="M125" s="6"/>
      <c r="P125" s="9"/>
      <c r="Q125" s="14"/>
      <c r="R125" s="14"/>
    </row>
    <row r="126" spans="2:18">
      <c r="D126" s="6"/>
      <c r="F126" s="9"/>
      <c r="G126" s="9"/>
      <c r="H126" s="14"/>
      <c r="I126" s="14"/>
      <c r="M126" s="6"/>
      <c r="P126" s="9"/>
      <c r="Q126" s="14"/>
      <c r="R126" s="14"/>
    </row>
    <row r="127" spans="2:18">
      <c r="D127" s="6"/>
      <c r="F127" s="9"/>
      <c r="G127" s="9"/>
      <c r="H127" s="14"/>
      <c r="I127" s="14"/>
      <c r="M127" s="6"/>
      <c r="P127" s="9"/>
      <c r="Q127" s="14"/>
      <c r="R127" s="14"/>
    </row>
    <row r="128" spans="2:18">
      <c r="B128" s="7"/>
      <c r="C128" s="7"/>
      <c r="D128" s="8"/>
      <c r="E128" s="7"/>
      <c r="F128" s="7"/>
      <c r="G128" s="7"/>
      <c r="H128" s="21"/>
      <c r="I128" s="19"/>
      <c r="K128" s="7"/>
      <c r="L128" s="7"/>
      <c r="M128" s="8"/>
      <c r="N128" s="7"/>
      <c r="P128" s="7"/>
      <c r="Q128" s="21"/>
      <c r="R128" s="19"/>
    </row>
    <row r="129" spans="2:18">
      <c r="B129" s="9"/>
      <c r="C129" s="9"/>
      <c r="D129" s="20"/>
      <c r="E129" s="10"/>
      <c r="F129" s="9"/>
      <c r="G129" s="9"/>
      <c r="H129" s="19"/>
      <c r="I129" s="19"/>
      <c r="K129" s="9"/>
      <c r="L129" s="9"/>
      <c r="M129" s="20"/>
      <c r="N129" s="10"/>
      <c r="P129" s="9"/>
      <c r="Q129" s="19"/>
      <c r="R129" s="19"/>
    </row>
    <row r="130" spans="2:18">
      <c r="B130" s="9"/>
      <c r="C130" s="9"/>
      <c r="D130" s="20"/>
      <c r="E130" s="10"/>
      <c r="F130" s="9"/>
      <c r="G130" s="9"/>
      <c r="H130" s="19"/>
      <c r="I130" s="19"/>
      <c r="K130" s="9"/>
      <c r="L130" s="9"/>
      <c r="M130" s="20"/>
      <c r="N130" s="10"/>
      <c r="P130" s="9"/>
      <c r="Q130" s="19"/>
      <c r="R130" s="19"/>
    </row>
    <row r="131" spans="2:18">
      <c r="B131" s="9"/>
      <c r="C131" s="9"/>
      <c r="D131" s="20"/>
      <c r="E131" s="10"/>
      <c r="F131" s="9"/>
      <c r="G131" s="9"/>
      <c r="H131" s="19"/>
      <c r="I131" s="19"/>
      <c r="K131" s="9"/>
      <c r="L131" s="9"/>
      <c r="M131" s="20"/>
      <c r="N131" s="10"/>
      <c r="P131" s="9"/>
      <c r="Q131" s="19"/>
      <c r="R131" s="19"/>
    </row>
    <row r="132" spans="2:18">
      <c r="B132" s="9"/>
      <c r="C132" s="9"/>
      <c r="D132" s="20"/>
      <c r="E132" s="10"/>
      <c r="F132" s="9"/>
      <c r="G132" s="9"/>
      <c r="H132" s="19"/>
      <c r="I132" s="19"/>
      <c r="K132" s="9"/>
      <c r="L132" s="9"/>
      <c r="M132" s="20"/>
      <c r="N132" s="10"/>
      <c r="P132" s="9"/>
      <c r="Q132" s="19"/>
      <c r="R132" s="19"/>
    </row>
    <row r="133" spans="2:18">
      <c r="B133" s="9"/>
      <c r="C133" s="9"/>
      <c r="D133" s="20"/>
      <c r="E133" s="10"/>
      <c r="F133" s="9"/>
      <c r="G133" s="9"/>
      <c r="H133" s="19"/>
      <c r="I133" s="19"/>
      <c r="K133" s="9"/>
      <c r="L133" s="9"/>
      <c r="M133" s="20"/>
      <c r="N133" s="10"/>
      <c r="P133" s="9"/>
      <c r="Q133" s="19"/>
      <c r="R133" s="19"/>
    </row>
    <row r="134" spans="2:18">
      <c r="B134" s="9"/>
      <c r="C134" s="9"/>
      <c r="D134" s="20"/>
      <c r="E134" s="10"/>
      <c r="F134" s="9"/>
      <c r="G134" s="9"/>
      <c r="H134" s="19"/>
      <c r="I134" s="19"/>
      <c r="K134" s="9"/>
      <c r="L134" s="9"/>
      <c r="M134" s="20"/>
      <c r="N134" s="10"/>
      <c r="P134" s="9"/>
      <c r="Q134" s="19"/>
      <c r="R134" s="19"/>
    </row>
    <row r="135" spans="2:18">
      <c r="B135" s="9"/>
      <c r="C135" s="9"/>
      <c r="D135" s="20"/>
      <c r="E135" s="10"/>
      <c r="F135" s="9"/>
      <c r="G135" s="9"/>
      <c r="H135" s="19"/>
      <c r="I135" s="19"/>
      <c r="K135" s="9"/>
      <c r="L135" s="9"/>
      <c r="M135" s="20"/>
      <c r="N135" s="10"/>
      <c r="P135" s="9"/>
      <c r="Q135" s="19"/>
      <c r="R135" s="19"/>
    </row>
    <row r="136" spans="2:18">
      <c r="B136" s="9"/>
      <c r="C136" s="9"/>
      <c r="D136" s="20"/>
      <c r="E136" s="10"/>
      <c r="F136" s="9"/>
      <c r="G136" s="9"/>
      <c r="H136" s="19"/>
      <c r="I136" s="19"/>
      <c r="K136" s="9"/>
      <c r="L136" s="9"/>
      <c r="M136" s="20"/>
      <c r="N136" s="10"/>
      <c r="P136" s="9"/>
      <c r="Q136" s="19"/>
      <c r="R136" s="19"/>
    </row>
    <row r="137" spans="2:18">
      <c r="B137" s="9"/>
      <c r="C137" s="9"/>
      <c r="D137" s="20"/>
      <c r="E137" s="10"/>
      <c r="F137" s="9"/>
      <c r="G137" s="9"/>
      <c r="H137" s="19"/>
      <c r="I137" s="19"/>
      <c r="K137" s="9"/>
      <c r="L137" s="9"/>
      <c r="M137" s="20"/>
      <c r="N137" s="10"/>
      <c r="P137" s="9"/>
      <c r="Q137" s="19"/>
      <c r="R137" s="19"/>
    </row>
    <row r="138" spans="2:18">
      <c r="B138" s="9"/>
      <c r="C138" s="9"/>
      <c r="D138" s="20"/>
      <c r="E138" s="10"/>
      <c r="F138" s="9"/>
      <c r="G138" s="9"/>
      <c r="H138" s="19"/>
      <c r="I138" s="19"/>
      <c r="K138" s="9"/>
      <c r="L138" s="9"/>
      <c r="M138" s="20"/>
      <c r="N138" s="10"/>
      <c r="P138" s="9"/>
      <c r="Q138" s="19"/>
      <c r="R138" s="19"/>
    </row>
    <row r="139" spans="2:18">
      <c r="B139" s="9"/>
      <c r="C139" s="9"/>
      <c r="D139" s="20"/>
      <c r="E139" s="10"/>
      <c r="F139" s="9"/>
      <c r="G139" s="9"/>
      <c r="H139" s="19"/>
      <c r="I139" s="19"/>
      <c r="K139" s="9"/>
      <c r="L139" s="9"/>
      <c r="M139" s="20"/>
      <c r="N139" s="10"/>
      <c r="P139" s="9"/>
      <c r="Q139" s="19"/>
      <c r="R139" s="19"/>
    </row>
    <row r="140" spans="2:18">
      <c r="B140" s="9"/>
      <c r="C140" s="9"/>
      <c r="D140" s="20"/>
      <c r="E140" s="10"/>
      <c r="F140" s="9"/>
      <c r="G140" s="9"/>
      <c r="H140" s="19"/>
      <c r="I140" s="19"/>
      <c r="K140" s="9"/>
      <c r="L140" s="9"/>
      <c r="M140" s="20"/>
      <c r="N140" s="10"/>
      <c r="P140" s="9"/>
      <c r="Q140" s="19"/>
      <c r="R140" s="19"/>
    </row>
    <row r="141" spans="2:18">
      <c r="B141" s="9"/>
      <c r="C141" s="9"/>
      <c r="D141" s="20"/>
      <c r="E141" s="10"/>
      <c r="F141" s="9"/>
      <c r="G141" s="9"/>
      <c r="H141" s="19"/>
      <c r="I141" s="19"/>
      <c r="K141" s="9"/>
      <c r="L141" s="9"/>
      <c r="M141" s="20"/>
      <c r="N141" s="10"/>
      <c r="P141" s="9"/>
      <c r="Q141" s="19"/>
      <c r="R141" s="19"/>
    </row>
    <row r="142" spans="2:18">
      <c r="B142" s="9"/>
      <c r="C142" s="9"/>
      <c r="D142" s="20"/>
      <c r="E142" s="10"/>
      <c r="F142" s="9"/>
      <c r="G142" s="9"/>
      <c r="H142" s="19"/>
      <c r="I142" s="19"/>
      <c r="K142" s="9"/>
      <c r="L142" s="9"/>
      <c r="M142" s="20"/>
      <c r="N142" s="10"/>
      <c r="P142" s="9"/>
      <c r="Q142" s="19"/>
      <c r="R142" s="19"/>
    </row>
    <row r="143" spans="2:18">
      <c r="B143" s="9"/>
      <c r="C143" s="9"/>
      <c r="D143" s="20"/>
      <c r="E143" s="10"/>
      <c r="F143" s="9"/>
      <c r="G143" s="9"/>
      <c r="H143" s="19"/>
      <c r="I143" s="19"/>
      <c r="K143" s="9"/>
      <c r="L143" s="9"/>
      <c r="M143" s="20"/>
      <c r="N143" s="10"/>
      <c r="P143" s="9"/>
      <c r="Q143" s="19"/>
      <c r="R143" s="19"/>
    </row>
    <row r="144" spans="2:18">
      <c r="B144" s="9"/>
      <c r="C144" s="9"/>
      <c r="D144" s="20"/>
      <c r="E144" s="10"/>
      <c r="F144" s="9"/>
      <c r="G144" s="9"/>
      <c r="H144" s="19"/>
      <c r="I144" s="19"/>
      <c r="K144" s="9"/>
      <c r="L144" s="9"/>
      <c r="M144" s="20"/>
      <c r="N144" s="10"/>
      <c r="P144" s="9"/>
      <c r="Q144" s="19"/>
      <c r="R144" s="19"/>
    </row>
    <row r="145" spans="2:18">
      <c r="B145" s="9"/>
      <c r="C145" s="9"/>
      <c r="D145" s="20"/>
      <c r="E145" s="10"/>
      <c r="F145" s="9"/>
      <c r="G145" s="9"/>
      <c r="H145" s="19"/>
      <c r="I145" s="19"/>
      <c r="K145" s="9"/>
      <c r="L145" s="9"/>
      <c r="M145" s="20"/>
      <c r="N145" s="10"/>
      <c r="P145" s="9"/>
      <c r="Q145" s="19"/>
      <c r="R145" s="19"/>
    </row>
    <row r="146" spans="2:18">
      <c r="B146" s="9"/>
      <c r="C146" s="9"/>
      <c r="D146" s="20"/>
      <c r="E146" s="10"/>
      <c r="F146" s="9"/>
      <c r="G146" s="9"/>
      <c r="H146" s="19"/>
      <c r="I146" s="19"/>
      <c r="K146" s="9"/>
      <c r="L146" s="9"/>
      <c r="M146" s="20"/>
      <c r="N146" s="10"/>
      <c r="P146" s="9"/>
      <c r="Q146" s="19"/>
      <c r="R146" s="19"/>
    </row>
    <row r="147" spans="2:18">
      <c r="B147" s="9"/>
      <c r="C147" s="9"/>
      <c r="D147" s="20"/>
      <c r="E147" s="10"/>
      <c r="F147" s="9"/>
      <c r="G147" s="9"/>
      <c r="H147" s="19"/>
      <c r="I147" s="19"/>
      <c r="K147" s="9"/>
      <c r="L147" s="9"/>
      <c r="M147" s="20"/>
      <c r="N147" s="10"/>
      <c r="P147" s="9"/>
      <c r="Q147" s="19"/>
      <c r="R147" s="19"/>
    </row>
    <row r="148" spans="2:18">
      <c r="B148" s="9"/>
      <c r="C148" s="9"/>
      <c r="D148" s="20"/>
      <c r="E148" s="10"/>
      <c r="F148" s="9"/>
      <c r="G148" s="9"/>
      <c r="H148" s="19"/>
      <c r="I148" s="19"/>
      <c r="K148" s="9"/>
      <c r="L148" s="9"/>
      <c r="M148" s="20"/>
      <c r="N148" s="10"/>
      <c r="P148" s="9"/>
      <c r="Q148" s="19"/>
      <c r="R148" s="19"/>
    </row>
    <row r="149" spans="2:18">
      <c r="B149" s="9"/>
      <c r="C149" s="9"/>
      <c r="D149" s="20"/>
      <c r="E149" s="10"/>
      <c r="F149" s="9"/>
      <c r="G149" s="9"/>
      <c r="H149" s="19"/>
      <c r="I149" s="19"/>
      <c r="K149" s="9"/>
      <c r="L149" s="9"/>
      <c r="M149" s="20"/>
      <c r="N149" s="10"/>
      <c r="P149" s="9"/>
      <c r="Q149" s="19"/>
      <c r="R149" s="19"/>
    </row>
    <row r="150" spans="2:18">
      <c r="B150" s="9"/>
      <c r="C150" s="9"/>
      <c r="D150" s="20"/>
      <c r="E150" s="10"/>
      <c r="F150" s="9"/>
      <c r="G150" s="9"/>
      <c r="H150" s="19"/>
      <c r="I150" s="19"/>
      <c r="K150" s="9"/>
      <c r="L150" s="9"/>
      <c r="M150" s="20"/>
      <c r="N150" s="10"/>
      <c r="P150" s="9"/>
      <c r="Q150" s="19"/>
      <c r="R150" s="19"/>
    </row>
    <row r="151" spans="2:18">
      <c r="B151" s="9"/>
      <c r="C151" s="9"/>
      <c r="D151" s="20"/>
      <c r="E151" s="10"/>
      <c r="F151" s="9"/>
      <c r="G151" s="9"/>
      <c r="H151" s="19"/>
      <c r="I151" s="19"/>
      <c r="K151" s="9"/>
      <c r="L151" s="9"/>
      <c r="M151" s="20"/>
      <c r="N151" s="10"/>
      <c r="P151" s="9"/>
      <c r="Q151" s="19"/>
      <c r="R151" s="19"/>
    </row>
    <row r="152" spans="2:18">
      <c r="B152" s="9"/>
      <c r="C152" s="9"/>
      <c r="D152" s="20"/>
      <c r="E152" s="10"/>
      <c r="F152" s="9"/>
      <c r="G152" s="9"/>
      <c r="H152" s="19"/>
      <c r="I152" s="19"/>
      <c r="K152" s="9"/>
      <c r="L152" s="9"/>
      <c r="M152" s="20"/>
      <c r="N152" s="10"/>
      <c r="P152" s="9"/>
      <c r="Q152" s="19"/>
      <c r="R152" s="19"/>
    </row>
    <row r="153" spans="2:18">
      <c r="B153" s="9"/>
      <c r="C153" s="9"/>
      <c r="D153" s="20"/>
      <c r="E153" s="10"/>
      <c r="F153" s="9"/>
      <c r="G153" s="9"/>
      <c r="H153" s="19"/>
      <c r="I153" s="19"/>
      <c r="K153" s="9"/>
      <c r="L153" s="9"/>
      <c r="M153" s="20"/>
      <c r="N153" s="10"/>
      <c r="P153" s="9"/>
      <c r="Q153" s="19"/>
      <c r="R153" s="19"/>
    </row>
    <row r="154" spans="2:18">
      <c r="B154" s="9"/>
      <c r="C154" s="9"/>
      <c r="D154" s="20"/>
      <c r="E154" s="10"/>
      <c r="F154" s="9"/>
      <c r="G154" s="9"/>
      <c r="H154" s="19"/>
      <c r="I154" s="19"/>
      <c r="K154" s="9"/>
      <c r="L154" s="9"/>
      <c r="M154" s="20"/>
      <c r="N154" s="10"/>
      <c r="P154" s="9"/>
      <c r="Q154" s="19"/>
      <c r="R154" s="19"/>
    </row>
    <row r="155" spans="2:18">
      <c r="B155" s="9"/>
      <c r="C155" s="9"/>
      <c r="D155" s="20"/>
      <c r="E155" s="10"/>
      <c r="F155" s="9"/>
      <c r="G155" s="9"/>
      <c r="H155" s="19"/>
      <c r="I155" s="19"/>
      <c r="K155" s="9"/>
      <c r="L155" s="9"/>
      <c r="M155" s="20"/>
      <c r="N155" s="10"/>
      <c r="P155" s="9"/>
      <c r="Q155" s="19"/>
      <c r="R155" s="19"/>
    </row>
    <row r="156" spans="2:18">
      <c r="B156" s="9"/>
      <c r="C156" s="9"/>
      <c r="D156" s="20"/>
      <c r="E156" s="10"/>
      <c r="F156" s="9"/>
      <c r="G156" s="9"/>
      <c r="H156" s="19"/>
      <c r="I156" s="19"/>
      <c r="K156" s="9"/>
      <c r="L156" s="9"/>
      <c r="M156" s="20"/>
      <c r="N156" s="10"/>
      <c r="P156" s="9"/>
      <c r="Q156" s="19"/>
      <c r="R156" s="19"/>
    </row>
    <row r="157" spans="2:18">
      <c r="B157" s="9"/>
      <c r="C157" s="9"/>
      <c r="D157" s="20"/>
      <c r="E157" s="10"/>
      <c r="F157" s="9"/>
      <c r="G157" s="9"/>
      <c r="H157" s="19"/>
      <c r="I157" s="19"/>
      <c r="K157" s="9"/>
      <c r="L157" s="9"/>
      <c r="M157" s="20"/>
      <c r="N157" s="10"/>
      <c r="P157" s="9"/>
      <c r="Q157" s="19"/>
      <c r="R157" s="19"/>
    </row>
    <row r="158" spans="2:18">
      <c r="B158" s="9"/>
      <c r="C158" s="9"/>
      <c r="D158" s="20"/>
      <c r="E158" s="10"/>
      <c r="F158" s="9"/>
      <c r="G158" s="9"/>
      <c r="H158" s="19"/>
      <c r="I158" s="19"/>
      <c r="K158" s="9"/>
      <c r="L158" s="9"/>
      <c r="M158" s="20"/>
      <c r="N158" s="10"/>
      <c r="P158" s="9"/>
      <c r="Q158" s="19"/>
      <c r="R158" s="19"/>
    </row>
    <row r="159" spans="2:18">
      <c r="B159" s="9"/>
      <c r="C159" s="9"/>
      <c r="D159" s="20"/>
      <c r="E159" s="10"/>
      <c r="F159" s="9"/>
      <c r="G159" s="9"/>
      <c r="H159" s="19"/>
      <c r="I159" s="19"/>
      <c r="K159" s="9"/>
      <c r="L159" s="9"/>
      <c r="M159" s="20"/>
      <c r="N159" s="10"/>
      <c r="P159" s="9"/>
      <c r="Q159" s="19"/>
      <c r="R159" s="19"/>
    </row>
    <row r="160" spans="2:18">
      <c r="B160" s="9"/>
      <c r="C160" s="9"/>
      <c r="D160" s="20"/>
      <c r="E160" s="10"/>
      <c r="F160" s="9"/>
      <c r="G160" s="9"/>
      <c r="H160" s="19"/>
      <c r="I160" s="19"/>
      <c r="K160" s="9"/>
      <c r="L160" s="9"/>
      <c r="M160" s="20"/>
      <c r="N160" s="10"/>
      <c r="P160" s="9"/>
      <c r="Q160" s="19"/>
      <c r="R160" s="19"/>
    </row>
    <row r="161" spans="2:18">
      <c r="B161" s="9"/>
      <c r="C161" s="9"/>
      <c r="D161" s="20"/>
      <c r="E161" s="10"/>
      <c r="F161" s="9"/>
      <c r="G161" s="9"/>
      <c r="H161" s="19"/>
      <c r="I161" s="19"/>
      <c r="K161" s="9"/>
      <c r="L161" s="9"/>
      <c r="M161" s="20"/>
      <c r="N161" s="10"/>
      <c r="P161" s="9"/>
      <c r="Q161" s="19"/>
      <c r="R161" s="19"/>
    </row>
    <row r="162" spans="2:18">
      <c r="B162" s="9"/>
      <c r="C162" s="9"/>
      <c r="D162" s="20"/>
      <c r="E162" s="10"/>
      <c r="F162" s="9"/>
      <c r="G162" s="9"/>
      <c r="H162" s="19"/>
      <c r="I162" s="19"/>
      <c r="K162" s="9"/>
      <c r="L162" s="9"/>
      <c r="M162" s="20"/>
      <c r="N162" s="10"/>
      <c r="P162" s="9"/>
      <c r="Q162" s="19"/>
      <c r="R162" s="19"/>
    </row>
    <row r="163" spans="2:18">
      <c r="B163" s="9"/>
      <c r="C163" s="9"/>
      <c r="D163" s="20"/>
      <c r="E163" s="10"/>
      <c r="F163" s="9"/>
      <c r="G163" s="9"/>
      <c r="H163" s="19"/>
      <c r="I163" s="19"/>
      <c r="K163" s="9"/>
      <c r="L163" s="9"/>
      <c r="M163" s="20"/>
      <c r="N163" s="10"/>
      <c r="P163" s="9"/>
      <c r="Q163" s="19"/>
      <c r="R163" s="19"/>
    </row>
    <row r="164" spans="2:18">
      <c r="B164" s="9"/>
      <c r="C164" s="9"/>
      <c r="D164" s="20"/>
      <c r="E164" s="10"/>
      <c r="F164" s="9"/>
      <c r="G164" s="9"/>
      <c r="H164" s="19"/>
      <c r="I164" s="19"/>
      <c r="K164" s="9"/>
      <c r="L164" s="9"/>
      <c r="M164" s="20"/>
      <c r="N164" s="10"/>
      <c r="P164" s="9"/>
      <c r="Q164" s="19"/>
      <c r="R164" s="19"/>
    </row>
    <row r="165" spans="2:18">
      <c r="B165" s="9"/>
      <c r="C165" s="9"/>
      <c r="D165" s="20"/>
      <c r="E165" s="10"/>
      <c r="F165" s="9"/>
      <c r="G165" s="9"/>
      <c r="H165" s="19"/>
      <c r="I165" s="19"/>
      <c r="K165" s="9"/>
      <c r="L165" s="9"/>
      <c r="M165" s="20"/>
      <c r="N165" s="10"/>
      <c r="P165" s="9"/>
      <c r="Q165" s="19"/>
      <c r="R165" s="19"/>
    </row>
    <row r="166" spans="2:18">
      <c r="B166" s="9"/>
      <c r="C166" s="9"/>
      <c r="D166" s="20"/>
      <c r="E166" s="10"/>
      <c r="F166" s="9"/>
      <c r="G166" s="9"/>
      <c r="H166" s="19"/>
      <c r="I166" s="19"/>
      <c r="K166" s="9"/>
      <c r="L166" s="9"/>
      <c r="M166" s="20"/>
      <c r="N166" s="10"/>
      <c r="P166" s="9"/>
      <c r="Q166" s="19"/>
      <c r="R166" s="19"/>
    </row>
    <row r="167" spans="2:18">
      <c r="B167" s="9"/>
      <c r="C167" s="9"/>
      <c r="D167" s="20"/>
      <c r="E167" s="10"/>
      <c r="F167" s="9"/>
      <c r="G167" s="9"/>
      <c r="H167" s="19"/>
      <c r="I167" s="19"/>
      <c r="K167" s="9"/>
      <c r="L167" s="9"/>
      <c r="M167" s="20"/>
      <c r="N167" s="10"/>
      <c r="P167" s="9"/>
      <c r="Q167" s="19"/>
      <c r="R167" s="19"/>
    </row>
    <row r="168" spans="2:18">
      <c r="B168" s="9"/>
      <c r="C168" s="9"/>
      <c r="D168" s="20"/>
      <c r="E168" s="10"/>
      <c r="F168" s="9"/>
      <c r="G168" s="9"/>
      <c r="H168" s="19"/>
      <c r="I168" s="19"/>
      <c r="K168" s="9"/>
      <c r="L168" s="9"/>
      <c r="M168" s="20"/>
      <c r="N168" s="10"/>
      <c r="P168" s="9"/>
      <c r="Q168" s="19"/>
      <c r="R168" s="19"/>
    </row>
    <row r="169" spans="2:18">
      <c r="B169" s="9"/>
      <c r="C169" s="9"/>
      <c r="D169" s="20"/>
      <c r="E169" s="10"/>
      <c r="F169" s="9"/>
      <c r="G169" s="9"/>
      <c r="H169" s="19"/>
      <c r="I169" s="19"/>
      <c r="K169" s="9"/>
      <c r="L169" s="9"/>
      <c r="M169" s="20"/>
      <c r="N169" s="10"/>
      <c r="P169" s="9"/>
      <c r="Q169" s="19"/>
      <c r="R169" s="1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6">
    <tabColor rgb="FF00B0F0"/>
  </sheetPr>
  <dimension ref="B2:I456"/>
  <sheetViews>
    <sheetView workbookViewId="0">
      <selection activeCell="D7" sqref="D7"/>
    </sheetView>
  </sheetViews>
  <sheetFormatPr defaultRowHeight="12.6"/>
  <cols>
    <col min="1" max="1" width="3.88671875" customWidth="1"/>
    <col min="2" max="9" width="14.33203125" customWidth="1"/>
  </cols>
  <sheetData>
    <row r="2" spans="2:9" ht="23.4">
      <c r="B2" s="25" t="s">
        <v>67</v>
      </c>
    </row>
    <row r="4" spans="2:9" ht="14.4">
      <c r="B4" s="2" t="s">
        <v>191</v>
      </c>
      <c r="C4" s="1"/>
      <c r="D4" s="1"/>
      <c r="E4" s="1"/>
      <c r="F4" s="1"/>
      <c r="G4" s="1"/>
      <c r="H4" s="1"/>
      <c r="I4" s="1"/>
    </row>
    <row r="5" spans="2:9" ht="13.8" thickBot="1">
      <c r="B5" s="3" t="s">
        <v>4</v>
      </c>
      <c r="C5" s="3" t="s">
        <v>5</v>
      </c>
      <c r="D5" s="3" t="s">
        <v>1</v>
      </c>
      <c r="E5" s="5" t="s">
        <v>7</v>
      </c>
      <c r="F5" s="5" t="s">
        <v>6</v>
      </c>
      <c r="G5" s="18" t="s">
        <v>43</v>
      </c>
      <c r="H5" s="4" t="s">
        <v>432</v>
      </c>
      <c r="I5" s="275" t="s">
        <v>433</v>
      </c>
    </row>
    <row r="6" spans="2:9" ht="13.2">
      <c r="C6" t="s">
        <v>48</v>
      </c>
      <c r="D6" s="6">
        <v>2010</v>
      </c>
      <c r="E6" t="s">
        <v>57</v>
      </c>
      <c r="F6" t="s">
        <v>53</v>
      </c>
      <c r="G6" s="22" t="s">
        <v>44</v>
      </c>
      <c r="H6" s="14"/>
      <c r="I6" s="14"/>
    </row>
    <row r="7" spans="2:9" ht="13.2">
      <c r="C7" t="s">
        <v>48</v>
      </c>
      <c r="D7" s="6">
        <v>2011</v>
      </c>
      <c r="E7" s="9" t="s">
        <v>57</v>
      </c>
      <c r="F7" t="s">
        <v>53</v>
      </c>
      <c r="G7" s="22" t="s">
        <v>44</v>
      </c>
      <c r="H7" s="14"/>
      <c r="I7" s="14"/>
    </row>
    <row r="8" spans="2:9" ht="13.2">
      <c r="C8" t="s">
        <v>48</v>
      </c>
      <c r="D8" s="6">
        <v>2012</v>
      </c>
      <c r="E8" s="9" t="s">
        <v>57</v>
      </c>
      <c r="F8" t="s">
        <v>53</v>
      </c>
      <c r="G8" s="22" t="s">
        <v>44</v>
      </c>
      <c r="H8" s="14"/>
      <c r="I8" s="14"/>
    </row>
    <row r="9" spans="2:9" ht="13.2">
      <c r="C9" t="s">
        <v>48</v>
      </c>
      <c r="D9" s="6">
        <v>2013</v>
      </c>
      <c r="E9" s="9" t="s">
        <v>57</v>
      </c>
      <c r="F9" t="s">
        <v>53</v>
      </c>
      <c r="G9" s="22" t="s">
        <v>44</v>
      </c>
      <c r="H9" s="14"/>
      <c r="I9" s="14"/>
    </row>
    <row r="10" spans="2:9" ht="13.2">
      <c r="C10" t="s">
        <v>48</v>
      </c>
      <c r="D10" s="6">
        <v>2014</v>
      </c>
      <c r="E10" s="9" t="s">
        <v>57</v>
      </c>
      <c r="F10" t="s">
        <v>53</v>
      </c>
      <c r="G10" s="22" t="s">
        <v>44</v>
      </c>
      <c r="H10" s="14"/>
      <c r="I10" s="14"/>
    </row>
    <row r="11" spans="2:9" ht="13.2">
      <c r="B11" s="9"/>
      <c r="C11" t="s">
        <v>48</v>
      </c>
      <c r="D11" s="6">
        <v>2015</v>
      </c>
      <c r="E11" s="9" t="s">
        <v>57</v>
      </c>
      <c r="F11" t="s">
        <v>53</v>
      </c>
      <c r="G11" s="22" t="s">
        <v>44</v>
      </c>
      <c r="H11" s="14"/>
      <c r="I11" s="14"/>
    </row>
    <row r="12" spans="2:9" ht="13.2">
      <c r="B12" s="9"/>
      <c r="C12" t="s">
        <v>48</v>
      </c>
      <c r="D12" s="6">
        <v>2016</v>
      </c>
      <c r="E12" s="9" t="s">
        <v>57</v>
      </c>
      <c r="F12" t="s">
        <v>53</v>
      </c>
      <c r="G12" s="22" t="s">
        <v>44</v>
      </c>
      <c r="H12" s="14"/>
      <c r="I12" s="14"/>
    </row>
    <row r="13" spans="2:9" ht="13.2">
      <c r="B13" s="9"/>
      <c r="C13" t="s">
        <v>48</v>
      </c>
      <c r="D13" s="6">
        <v>2017</v>
      </c>
      <c r="E13" s="9" t="s">
        <v>57</v>
      </c>
      <c r="F13" t="s">
        <v>53</v>
      </c>
      <c r="G13" s="22" t="s">
        <v>44</v>
      </c>
      <c r="H13" s="14"/>
      <c r="I13" s="14"/>
    </row>
    <row r="14" spans="2:9" ht="13.2">
      <c r="B14" s="9"/>
      <c r="C14" t="s">
        <v>48</v>
      </c>
      <c r="D14" s="6">
        <v>2018</v>
      </c>
      <c r="E14" s="9" t="s">
        <v>57</v>
      </c>
      <c r="F14" t="s">
        <v>53</v>
      </c>
      <c r="G14" s="22" t="s">
        <v>44</v>
      </c>
      <c r="H14" s="14"/>
      <c r="I14" s="14"/>
    </row>
    <row r="15" spans="2:9" ht="13.2">
      <c r="B15" s="9"/>
      <c r="C15" t="s">
        <v>48</v>
      </c>
      <c r="D15" s="6">
        <v>2019</v>
      </c>
      <c r="E15" s="9" t="s">
        <v>57</v>
      </c>
      <c r="F15" t="s">
        <v>53</v>
      </c>
      <c r="G15" s="22" t="s">
        <v>44</v>
      </c>
      <c r="H15" s="14"/>
      <c r="I15" s="14"/>
    </row>
    <row r="16" spans="2:9" ht="13.2">
      <c r="B16" s="9"/>
      <c r="C16" t="s">
        <v>48</v>
      </c>
      <c r="D16" s="6">
        <v>2020</v>
      </c>
      <c r="E16" s="9" t="s">
        <v>57</v>
      </c>
      <c r="F16" t="s">
        <v>53</v>
      </c>
      <c r="G16" s="22" t="s">
        <v>44</v>
      </c>
      <c r="H16" s="14"/>
      <c r="I16" s="14"/>
    </row>
    <row r="17" spans="2:9" ht="13.2">
      <c r="B17" s="9"/>
      <c r="C17" t="s">
        <v>48</v>
      </c>
      <c r="D17" s="6">
        <v>2021</v>
      </c>
      <c r="E17" s="9" t="s">
        <v>57</v>
      </c>
      <c r="F17" t="s">
        <v>53</v>
      </c>
      <c r="G17" s="22" t="s">
        <v>44</v>
      </c>
      <c r="H17" s="14"/>
      <c r="I17" s="14"/>
    </row>
    <row r="18" spans="2:9" ht="13.2">
      <c r="B18" s="9"/>
      <c r="C18" t="s">
        <v>48</v>
      </c>
      <c r="D18" s="6">
        <v>2022</v>
      </c>
      <c r="E18" s="9" t="s">
        <v>57</v>
      </c>
      <c r="F18" t="s">
        <v>53</v>
      </c>
      <c r="G18" s="22" t="s">
        <v>44</v>
      </c>
      <c r="H18" s="14"/>
      <c r="I18" s="14"/>
    </row>
    <row r="19" spans="2:9" ht="13.2">
      <c r="B19" s="9"/>
      <c r="C19" t="s">
        <v>48</v>
      </c>
      <c r="D19" s="6">
        <v>2023</v>
      </c>
      <c r="E19" s="9" t="s">
        <v>57</v>
      </c>
      <c r="F19" t="s">
        <v>53</v>
      </c>
      <c r="G19" s="22" t="s">
        <v>44</v>
      </c>
      <c r="H19" s="14"/>
      <c r="I19" s="14"/>
    </row>
    <row r="20" spans="2:9" ht="13.2">
      <c r="B20" s="9"/>
      <c r="C20" t="s">
        <v>48</v>
      </c>
      <c r="D20" s="6">
        <v>2024</v>
      </c>
      <c r="E20" s="9" t="s">
        <v>57</v>
      </c>
      <c r="F20" t="s">
        <v>53</v>
      </c>
      <c r="G20" s="22" t="s">
        <v>44</v>
      </c>
      <c r="H20" s="14"/>
      <c r="I20" s="14"/>
    </row>
    <row r="21" spans="2:9" ht="13.2">
      <c r="B21" s="9"/>
      <c r="C21" t="s">
        <v>48</v>
      </c>
      <c r="D21" s="6">
        <v>2025</v>
      </c>
      <c r="E21" s="9" t="s">
        <v>57</v>
      </c>
      <c r="F21" t="s">
        <v>53</v>
      </c>
      <c r="G21" s="22" t="s">
        <v>44</v>
      </c>
      <c r="H21" s="14"/>
      <c r="I21" s="14"/>
    </row>
    <row r="22" spans="2:9" ht="13.2">
      <c r="B22" s="9"/>
      <c r="C22" t="s">
        <v>48</v>
      </c>
      <c r="D22" s="6">
        <v>2026</v>
      </c>
      <c r="E22" s="9" t="s">
        <v>57</v>
      </c>
      <c r="F22" t="s">
        <v>53</v>
      </c>
      <c r="G22" s="22" t="s">
        <v>44</v>
      </c>
      <c r="H22" s="14"/>
      <c r="I22" s="14"/>
    </row>
    <row r="23" spans="2:9" ht="13.2">
      <c r="B23" s="9"/>
      <c r="C23" t="s">
        <v>48</v>
      </c>
      <c r="D23" s="6">
        <v>2027</v>
      </c>
      <c r="E23" s="9" t="s">
        <v>57</v>
      </c>
      <c r="F23" t="s">
        <v>53</v>
      </c>
      <c r="G23" s="22" t="s">
        <v>44</v>
      </c>
      <c r="H23" s="14"/>
      <c r="I23" s="14"/>
    </row>
    <row r="24" spans="2:9" ht="13.2">
      <c r="B24" s="9"/>
      <c r="C24" t="s">
        <v>48</v>
      </c>
      <c r="D24" s="6">
        <v>2028</v>
      </c>
      <c r="E24" s="9" t="s">
        <v>57</v>
      </c>
      <c r="F24" t="s">
        <v>53</v>
      </c>
      <c r="G24" s="22" t="s">
        <v>44</v>
      </c>
      <c r="H24" s="14"/>
      <c r="I24" s="14"/>
    </row>
    <row r="25" spans="2:9" ht="13.2">
      <c r="B25" s="9"/>
      <c r="C25" t="s">
        <v>48</v>
      </c>
      <c r="D25" s="6">
        <v>2029</v>
      </c>
      <c r="E25" s="9" t="s">
        <v>57</v>
      </c>
      <c r="F25" t="s">
        <v>53</v>
      </c>
      <c r="G25" s="22" t="s">
        <v>44</v>
      </c>
      <c r="H25" s="14"/>
      <c r="I25" s="14"/>
    </row>
    <row r="26" spans="2:9" ht="13.2">
      <c r="B26" s="9"/>
      <c r="C26" t="s">
        <v>48</v>
      </c>
      <c r="D26" s="6">
        <v>2030</v>
      </c>
      <c r="E26" s="9" t="s">
        <v>57</v>
      </c>
      <c r="F26" t="s">
        <v>53</v>
      </c>
      <c r="G26" s="22" t="s">
        <v>44</v>
      </c>
      <c r="H26" s="14"/>
      <c r="I26" s="14"/>
    </row>
    <row r="27" spans="2:9" ht="13.2">
      <c r="B27" s="9"/>
      <c r="C27" t="s">
        <v>48</v>
      </c>
      <c r="D27" s="6">
        <v>2031</v>
      </c>
      <c r="E27" s="9" t="s">
        <v>57</v>
      </c>
      <c r="F27" t="s">
        <v>53</v>
      </c>
      <c r="G27" s="22" t="s">
        <v>44</v>
      </c>
      <c r="H27" s="14"/>
      <c r="I27" s="14"/>
    </row>
    <row r="28" spans="2:9" ht="13.2">
      <c r="B28" s="9"/>
      <c r="C28" t="s">
        <v>48</v>
      </c>
      <c r="D28" s="6">
        <v>2032</v>
      </c>
      <c r="E28" s="9" t="s">
        <v>57</v>
      </c>
      <c r="F28" t="s">
        <v>53</v>
      </c>
      <c r="G28" s="22" t="s">
        <v>44</v>
      </c>
      <c r="H28" s="14"/>
      <c r="I28" s="14"/>
    </row>
    <row r="29" spans="2:9" ht="13.2">
      <c r="B29" s="9"/>
      <c r="C29" t="s">
        <v>48</v>
      </c>
      <c r="D29" s="6">
        <v>2033</v>
      </c>
      <c r="E29" s="9" t="s">
        <v>57</v>
      </c>
      <c r="F29" t="s">
        <v>53</v>
      </c>
      <c r="G29" s="22" t="s">
        <v>44</v>
      </c>
      <c r="H29" s="14"/>
      <c r="I29" s="14"/>
    </row>
    <row r="30" spans="2:9" ht="13.2">
      <c r="B30" s="9"/>
      <c r="C30" t="s">
        <v>48</v>
      </c>
      <c r="D30" s="6">
        <v>2034</v>
      </c>
      <c r="E30" s="9" t="s">
        <v>57</v>
      </c>
      <c r="F30" t="s">
        <v>53</v>
      </c>
      <c r="G30" s="22" t="s">
        <v>44</v>
      </c>
      <c r="H30" s="14"/>
      <c r="I30" s="14"/>
    </row>
    <row r="31" spans="2:9" ht="13.2">
      <c r="B31" s="9"/>
      <c r="C31" t="s">
        <v>48</v>
      </c>
      <c r="D31" s="6">
        <v>2035</v>
      </c>
      <c r="E31" s="9" t="s">
        <v>57</v>
      </c>
      <c r="F31" t="s">
        <v>53</v>
      </c>
      <c r="G31" s="22" t="s">
        <v>44</v>
      </c>
      <c r="H31" s="14"/>
      <c r="I31" s="14"/>
    </row>
    <row r="32" spans="2:9" ht="13.2">
      <c r="B32" s="9"/>
      <c r="C32" t="s">
        <v>48</v>
      </c>
      <c r="D32" s="6">
        <v>2036</v>
      </c>
      <c r="E32" s="9" t="s">
        <v>57</v>
      </c>
      <c r="F32" t="s">
        <v>53</v>
      </c>
      <c r="G32" s="22" t="s">
        <v>44</v>
      </c>
      <c r="H32" s="14"/>
      <c r="I32" s="14"/>
    </row>
    <row r="33" spans="2:9" ht="13.2">
      <c r="B33" s="9"/>
      <c r="C33" t="s">
        <v>48</v>
      </c>
      <c r="D33" s="6">
        <v>2037</v>
      </c>
      <c r="E33" s="9" t="s">
        <v>57</v>
      </c>
      <c r="F33" t="s">
        <v>53</v>
      </c>
      <c r="G33" s="22" t="s">
        <v>44</v>
      </c>
      <c r="H33" s="14"/>
      <c r="I33" s="14"/>
    </row>
    <row r="34" spans="2:9" ht="13.2">
      <c r="B34" s="9"/>
      <c r="C34" t="s">
        <v>48</v>
      </c>
      <c r="D34" s="6">
        <v>2038</v>
      </c>
      <c r="E34" s="9" t="s">
        <v>57</v>
      </c>
      <c r="F34" t="s">
        <v>53</v>
      </c>
      <c r="G34" s="22" t="s">
        <v>44</v>
      </c>
      <c r="H34" s="14"/>
      <c r="I34" s="14"/>
    </row>
    <row r="35" spans="2:9" ht="13.2">
      <c r="B35" s="9"/>
      <c r="C35" t="s">
        <v>48</v>
      </c>
      <c r="D35" s="6">
        <v>2039</v>
      </c>
      <c r="E35" s="9" t="s">
        <v>57</v>
      </c>
      <c r="F35" t="s">
        <v>53</v>
      </c>
      <c r="G35" s="22" t="s">
        <v>44</v>
      </c>
      <c r="H35" s="14"/>
      <c r="I35" s="14"/>
    </row>
    <row r="36" spans="2:9" ht="13.2">
      <c r="B36" s="9"/>
      <c r="C36" t="s">
        <v>48</v>
      </c>
      <c r="D36" s="6">
        <v>2040</v>
      </c>
      <c r="E36" s="9" t="s">
        <v>57</v>
      </c>
      <c r="F36" t="s">
        <v>53</v>
      </c>
      <c r="G36" s="22" t="s">
        <v>44</v>
      </c>
      <c r="H36" s="14"/>
      <c r="I36" s="14"/>
    </row>
    <row r="37" spans="2:9" ht="13.2">
      <c r="B37" s="9"/>
      <c r="C37" t="s">
        <v>48</v>
      </c>
      <c r="D37" s="6">
        <v>2041</v>
      </c>
      <c r="E37" s="9" t="s">
        <v>57</v>
      </c>
      <c r="F37" t="s">
        <v>53</v>
      </c>
      <c r="G37" s="22" t="s">
        <v>44</v>
      </c>
      <c r="H37" s="14"/>
      <c r="I37" s="14"/>
    </row>
    <row r="38" spans="2:9" ht="13.2">
      <c r="B38" s="9"/>
      <c r="C38" t="s">
        <v>48</v>
      </c>
      <c r="D38" s="6">
        <v>2042</v>
      </c>
      <c r="E38" s="9" t="s">
        <v>57</v>
      </c>
      <c r="F38" t="s">
        <v>53</v>
      </c>
      <c r="G38" s="22" t="s">
        <v>44</v>
      </c>
      <c r="H38" s="14"/>
      <c r="I38" s="14"/>
    </row>
    <row r="39" spans="2:9" ht="13.2">
      <c r="B39" s="9"/>
      <c r="C39" t="s">
        <v>48</v>
      </c>
      <c r="D39" s="6">
        <v>2043</v>
      </c>
      <c r="E39" s="9" t="s">
        <v>57</v>
      </c>
      <c r="F39" t="s">
        <v>53</v>
      </c>
      <c r="G39" s="22" t="s">
        <v>44</v>
      </c>
      <c r="H39" s="14"/>
      <c r="I39" s="14"/>
    </row>
    <row r="40" spans="2:9" ht="13.2">
      <c r="B40" s="9"/>
      <c r="C40" t="s">
        <v>48</v>
      </c>
      <c r="D40" s="6">
        <v>2044</v>
      </c>
      <c r="E40" s="9" t="s">
        <v>57</v>
      </c>
      <c r="F40" t="s">
        <v>53</v>
      </c>
      <c r="G40" s="22" t="s">
        <v>44</v>
      </c>
      <c r="H40" s="14"/>
      <c r="I40" s="14"/>
    </row>
    <row r="41" spans="2:9" ht="13.2">
      <c r="B41" s="9"/>
      <c r="C41" t="s">
        <v>48</v>
      </c>
      <c r="D41" s="6">
        <v>2045</v>
      </c>
      <c r="E41" s="9" t="s">
        <v>57</v>
      </c>
      <c r="F41" t="s">
        <v>53</v>
      </c>
      <c r="G41" s="22" t="s">
        <v>44</v>
      </c>
      <c r="H41" s="14"/>
      <c r="I41" s="14"/>
    </row>
    <row r="42" spans="2:9" ht="13.2">
      <c r="B42" s="9"/>
      <c r="C42" t="s">
        <v>48</v>
      </c>
      <c r="D42" s="6">
        <v>2046</v>
      </c>
      <c r="E42" s="9" t="s">
        <v>57</v>
      </c>
      <c r="F42" t="s">
        <v>53</v>
      </c>
      <c r="G42" s="22" t="s">
        <v>44</v>
      </c>
      <c r="H42" s="14"/>
      <c r="I42" s="14"/>
    </row>
    <row r="43" spans="2:9" ht="13.2">
      <c r="B43" s="9"/>
      <c r="C43" t="s">
        <v>48</v>
      </c>
      <c r="D43" s="6">
        <v>2047</v>
      </c>
      <c r="E43" s="9" t="s">
        <v>57</v>
      </c>
      <c r="F43" t="s">
        <v>53</v>
      </c>
      <c r="G43" s="22" t="s">
        <v>44</v>
      </c>
      <c r="H43" s="14"/>
      <c r="I43" s="14"/>
    </row>
    <row r="44" spans="2:9" ht="13.2">
      <c r="B44" s="9"/>
      <c r="C44" t="s">
        <v>48</v>
      </c>
      <c r="D44" s="6">
        <v>2048</v>
      </c>
      <c r="E44" s="9" t="s">
        <v>57</v>
      </c>
      <c r="F44" t="s">
        <v>53</v>
      </c>
      <c r="G44" s="22" t="s">
        <v>44</v>
      </c>
      <c r="H44" s="14"/>
      <c r="I44" s="14"/>
    </row>
    <row r="45" spans="2:9" ht="13.2">
      <c r="B45" s="9"/>
      <c r="C45" t="s">
        <v>48</v>
      </c>
      <c r="D45" s="6">
        <v>2049</v>
      </c>
      <c r="E45" s="9" t="s">
        <v>57</v>
      </c>
      <c r="F45" t="s">
        <v>53</v>
      </c>
      <c r="G45" s="22" t="s">
        <v>44</v>
      </c>
      <c r="H45" s="14"/>
      <c r="I45" s="14"/>
    </row>
    <row r="46" spans="2:9" ht="13.2">
      <c r="B46" s="7"/>
      <c r="C46" s="7" t="s">
        <v>48</v>
      </c>
      <c r="D46" s="8">
        <v>2050</v>
      </c>
      <c r="E46" s="7" t="s">
        <v>57</v>
      </c>
      <c r="F46" s="7" t="s">
        <v>53</v>
      </c>
      <c r="G46" s="23" t="s">
        <v>44</v>
      </c>
      <c r="H46" s="21"/>
      <c r="I46" s="19"/>
    </row>
    <row r="47" spans="2:9" ht="13.2">
      <c r="C47" t="s">
        <v>48</v>
      </c>
      <c r="D47" s="6">
        <v>2010</v>
      </c>
      <c r="E47" t="s">
        <v>56</v>
      </c>
      <c r="F47" t="s">
        <v>53</v>
      </c>
      <c r="G47" s="22" t="s">
        <v>44</v>
      </c>
      <c r="H47" s="14"/>
      <c r="I47" s="14"/>
    </row>
    <row r="48" spans="2:9" ht="13.2">
      <c r="C48" t="s">
        <v>48</v>
      </c>
      <c r="D48" s="6">
        <v>2011</v>
      </c>
      <c r="E48" t="s">
        <v>56</v>
      </c>
      <c r="F48" t="s">
        <v>53</v>
      </c>
      <c r="G48" s="22" t="s">
        <v>44</v>
      </c>
      <c r="H48" s="14"/>
      <c r="I48" s="14"/>
    </row>
    <row r="49" spans="2:9" ht="13.2">
      <c r="C49" t="s">
        <v>48</v>
      </c>
      <c r="D49" s="6">
        <v>2012</v>
      </c>
      <c r="E49" t="s">
        <v>56</v>
      </c>
      <c r="F49" t="s">
        <v>53</v>
      </c>
      <c r="G49" s="22" t="s">
        <v>44</v>
      </c>
      <c r="H49" s="14"/>
      <c r="I49" s="14"/>
    </row>
    <row r="50" spans="2:9" ht="13.2">
      <c r="C50" t="s">
        <v>48</v>
      </c>
      <c r="D50" s="6">
        <v>2013</v>
      </c>
      <c r="E50" t="s">
        <v>56</v>
      </c>
      <c r="F50" t="s">
        <v>53</v>
      </c>
      <c r="G50" s="22" t="s">
        <v>44</v>
      </c>
      <c r="H50" s="14"/>
      <c r="I50" s="14"/>
    </row>
    <row r="51" spans="2:9" ht="13.2">
      <c r="B51" s="9"/>
      <c r="C51" t="s">
        <v>48</v>
      </c>
      <c r="D51" s="6">
        <v>2014</v>
      </c>
      <c r="E51" t="s">
        <v>56</v>
      </c>
      <c r="F51" t="s">
        <v>53</v>
      </c>
      <c r="G51" s="22" t="s">
        <v>44</v>
      </c>
      <c r="H51" s="14"/>
      <c r="I51" s="14"/>
    </row>
    <row r="52" spans="2:9" ht="13.2">
      <c r="B52" s="9"/>
      <c r="C52" t="s">
        <v>48</v>
      </c>
      <c r="D52" s="6">
        <v>2015</v>
      </c>
      <c r="E52" t="s">
        <v>56</v>
      </c>
      <c r="F52" t="s">
        <v>53</v>
      </c>
      <c r="G52" s="22" t="s">
        <v>44</v>
      </c>
      <c r="H52" s="14"/>
      <c r="I52" s="14"/>
    </row>
    <row r="53" spans="2:9" ht="13.2">
      <c r="B53" s="9"/>
      <c r="C53" t="s">
        <v>48</v>
      </c>
      <c r="D53" s="6">
        <v>2016</v>
      </c>
      <c r="E53" t="s">
        <v>56</v>
      </c>
      <c r="F53" t="s">
        <v>53</v>
      </c>
      <c r="G53" s="22" t="s">
        <v>44</v>
      </c>
      <c r="H53" s="14"/>
      <c r="I53" s="14"/>
    </row>
    <row r="54" spans="2:9" ht="13.2">
      <c r="B54" s="9"/>
      <c r="C54" t="s">
        <v>48</v>
      </c>
      <c r="D54" s="6">
        <v>2017</v>
      </c>
      <c r="E54" t="s">
        <v>56</v>
      </c>
      <c r="F54" t="s">
        <v>53</v>
      </c>
      <c r="G54" s="22" t="s">
        <v>44</v>
      </c>
      <c r="H54" s="14"/>
      <c r="I54" s="14"/>
    </row>
    <row r="55" spans="2:9" ht="13.2">
      <c r="B55" s="9"/>
      <c r="C55" t="s">
        <v>48</v>
      </c>
      <c r="D55" s="6">
        <v>2018</v>
      </c>
      <c r="E55" t="s">
        <v>56</v>
      </c>
      <c r="F55" t="s">
        <v>53</v>
      </c>
      <c r="G55" s="22" t="s">
        <v>44</v>
      </c>
      <c r="H55" s="14"/>
      <c r="I55" s="14"/>
    </row>
    <row r="56" spans="2:9" ht="13.2">
      <c r="B56" s="9"/>
      <c r="C56" t="s">
        <v>48</v>
      </c>
      <c r="D56" s="6">
        <v>2019</v>
      </c>
      <c r="E56" t="s">
        <v>56</v>
      </c>
      <c r="F56" t="s">
        <v>53</v>
      </c>
      <c r="G56" s="22" t="s">
        <v>44</v>
      </c>
      <c r="H56" s="14"/>
      <c r="I56" s="14"/>
    </row>
    <row r="57" spans="2:9" ht="13.2">
      <c r="B57" s="9"/>
      <c r="C57" t="s">
        <v>48</v>
      </c>
      <c r="D57" s="6">
        <v>2020</v>
      </c>
      <c r="E57" t="s">
        <v>56</v>
      </c>
      <c r="F57" t="s">
        <v>53</v>
      </c>
      <c r="G57" s="22" t="s">
        <v>44</v>
      </c>
      <c r="H57" s="14"/>
      <c r="I57" s="14"/>
    </row>
    <row r="58" spans="2:9" ht="13.2">
      <c r="B58" s="9"/>
      <c r="C58" t="s">
        <v>48</v>
      </c>
      <c r="D58" s="6">
        <v>2021</v>
      </c>
      <c r="E58" t="s">
        <v>56</v>
      </c>
      <c r="F58" t="s">
        <v>53</v>
      </c>
      <c r="G58" s="22" t="s">
        <v>44</v>
      </c>
      <c r="H58" s="14"/>
      <c r="I58" s="14"/>
    </row>
    <row r="59" spans="2:9" ht="13.2">
      <c r="B59" s="9"/>
      <c r="C59" t="s">
        <v>48</v>
      </c>
      <c r="D59" s="6">
        <v>2022</v>
      </c>
      <c r="E59" t="s">
        <v>56</v>
      </c>
      <c r="F59" t="s">
        <v>53</v>
      </c>
      <c r="G59" s="22" t="s">
        <v>44</v>
      </c>
      <c r="H59" s="14"/>
      <c r="I59" s="14"/>
    </row>
    <row r="60" spans="2:9" ht="13.2">
      <c r="B60" s="9"/>
      <c r="C60" t="s">
        <v>48</v>
      </c>
      <c r="D60" s="6">
        <v>2023</v>
      </c>
      <c r="E60" t="s">
        <v>56</v>
      </c>
      <c r="F60" t="s">
        <v>53</v>
      </c>
      <c r="G60" s="22" t="s">
        <v>44</v>
      </c>
      <c r="H60" s="14"/>
      <c r="I60" s="14"/>
    </row>
    <row r="61" spans="2:9" ht="13.2">
      <c r="B61" s="9"/>
      <c r="C61" t="s">
        <v>48</v>
      </c>
      <c r="D61" s="6">
        <v>2024</v>
      </c>
      <c r="E61" t="s">
        <v>56</v>
      </c>
      <c r="F61" t="s">
        <v>53</v>
      </c>
      <c r="G61" s="22" t="s">
        <v>44</v>
      </c>
      <c r="H61" s="14"/>
      <c r="I61" s="14"/>
    </row>
    <row r="62" spans="2:9" ht="13.2">
      <c r="C62" t="s">
        <v>48</v>
      </c>
      <c r="D62" s="6">
        <v>2025</v>
      </c>
      <c r="E62" t="s">
        <v>56</v>
      </c>
      <c r="F62" t="s">
        <v>53</v>
      </c>
      <c r="G62" s="22" t="s">
        <v>44</v>
      </c>
      <c r="H62" s="14"/>
      <c r="I62" s="14"/>
    </row>
    <row r="63" spans="2:9" ht="13.2">
      <c r="C63" t="s">
        <v>48</v>
      </c>
      <c r="D63" s="6">
        <v>2026</v>
      </c>
      <c r="E63" t="s">
        <v>56</v>
      </c>
      <c r="F63" t="s">
        <v>53</v>
      </c>
      <c r="G63" s="22" t="s">
        <v>44</v>
      </c>
      <c r="H63" s="14"/>
      <c r="I63" s="14"/>
    </row>
    <row r="64" spans="2:9" ht="13.2">
      <c r="C64" t="s">
        <v>48</v>
      </c>
      <c r="D64" s="6">
        <v>2027</v>
      </c>
      <c r="E64" t="s">
        <v>56</v>
      </c>
      <c r="F64" t="s">
        <v>53</v>
      </c>
      <c r="G64" s="22" t="s">
        <v>44</v>
      </c>
      <c r="H64" s="14"/>
      <c r="I64" s="14"/>
    </row>
    <row r="65" spans="3:9" ht="13.2">
      <c r="C65" t="s">
        <v>48</v>
      </c>
      <c r="D65" s="6">
        <v>2028</v>
      </c>
      <c r="E65" t="s">
        <v>56</v>
      </c>
      <c r="F65" t="s">
        <v>53</v>
      </c>
      <c r="G65" s="22" t="s">
        <v>44</v>
      </c>
      <c r="H65" s="14"/>
      <c r="I65" s="14"/>
    </row>
    <row r="66" spans="3:9" ht="13.2">
      <c r="C66" t="s">
        <v>48</v>
      </c>
      <c r="D66" s="6">
        <v>2029</v>
      </c>
      <c r="E66" t="s">
        <v>56</v>
      </c>
      <c r="F66" t="s">
        <v>53</v>
      </c>
      <c r="G66" s="22" t="s">
        <v>44</v>
      </c>
      <c r="H66" s="14"/>
      <c r="I66" s="14"/>
    </row>
    <row r="67" spans="3:9" ht="13.2">
      <c r="C67" t="s">
        <v>48</v>
      </c>
      <c r="D67" s="6">
        <v>2030</v>
      </c>
      <c r="E67" t="s">
        <v>56</v>
      </c>
      <c r="F67" t="s">
        <v>53</v>
      </c>
      <c r="G67" s="22" t="s">
        <v>44</v>
      </c>
      <c r="H67" s="14"/>
      <c r="I67" s="14"/>
    </row>
    <row r="68" spans="3:9" ht="13.2">
      <c r="C68" t="s">
        <v>48</v>
      </c>
      <c r="D68" s="6">
        <v>2031</v>
      </c>
      <c r="E68" t="s">
        <v>56</v>
      </c>
      <c r="F68" t="s">
        <v>53</v>
      </c>
      <c r="G68" s="22" t="s">
        <v>44</v>
      </c>
      <c r="H68" s="14"/>
      <c r="I68" s="14"/>
    </row>
    <row r="69" spans="3:9" ht="13.2">
      <c r="C69" t="s">
        <v>48</v>
      </c>
      <c r="D69" s="6">
        <v>2032</v>
      </c>
      <c r="E69" t="s">
        <v>56</v>
      </c>
      <c r="F69" t="s">
        <v>53</v>
      </c>
      <c r="G69" s="22" t="s">
        <v>44</v>
      </c>
      <c r="H69" s="14"/>
      <c r="I69" s="14"/>
    </row>
    <row r="70" spans="3:9" ht="13.2">
      <c r="C70" t="s">
        <v>48</v>
      </c>
      <c r="D70" s="6">
        <v>2033</v>
      </c>
      <c r="E70" t="s">
        <v>56</v>
      </c>
      <c r="F70" t="s">
        <v>53</v>
      </c>
      <c r="G70" s="22" t="s">
        <v>44</v>
      </c>
      <c r="H70" s="14"/>
      <c r="I70" s="14"/>
    </row>
    <row r="71" spans="3:9" ht="13.2">
      <c r="C71" t="s">
        <v>48</v>
      </c>
      <c r="D71" s="6">
        <v>2034</v>
      </c>
      <c r="E71" t="s">
        <v>56</v>
      </c>
      <c r="F71" t="s">
        <v>53</v>
      </c>
      <c r="G71" s="22" t="s">
        <v>44</v>
      </c>
      <c r="H71" s="14"/>
      <c r="I71" s="14"/>
    </row>
    <row r="72" spans="3:9" ht="13.2">
      <c r="C72" t="s">
        <v>48</v>
      </c>
      <c r="D72" s="6">
        <v>2035</v>
      </c>
      <c r="E72" t="s">
        <v>56</v>
      </c>
      <c r="F72" t="s">
        <v>53</v>
      </c>
      <c r="G72" s="22" t="s">
        <v>44</v>
      </c>
      <c r="H72" s="14"/>
      <c r="I72" s="14"/>
    </row>
    <row r="73" spans="3:9" ht="13.2">
      <c r="C73" t="s">
        <v>48</v>
      </c>
      <c r="D73" s="6">
        <v>2036</v>
      </c>
      <c r="E73" t="s">
        <v>56</v>
      </c>
      <c r="F73" t="s">
        <v>53</v>
      </c>
      <c r="G73" s="22" t="s">
        <v>44</v>
      </c>
      <c r="H73" s="14"/>
      <c r="I73" s="14"/>
    </row>
    <row r="74" spans="3:9" ht="13.2">
      <c r="C74" t="s">
        <v>48</v>
      </c>
      <c r="D74" s="6">
        <v>2037</v>
      </c>
      <c r="E74" t="s">
        <v>56</v>
      </c>
      <c r="F74" t="s">
        <v>53</v>
      </c>
      <c r="G74" s="22" t="s">
        <v>44</v>
      </c>
      <c r="H74" s="14"/>
      <c r="I74" s="14"/>
    </row>
    <row r="75" spans="3:9" ht="13.2">
      <c r="C75" t="s">
        <v>48</v>
      </c>
      <c r="D75" s="6">
        <v>2038</v>
      </c>
      <c r="E75" t="s">
        <v>56</v>
      </c>
      <c r="F75" t="s">
        <v>53</v>
      </c>
      <c r="G75" s="22" t="s">
        <v>44</v>
      </c>
      <c r="H75" s="14"/>
      <c r="I75" s="14"/>
    </row>
    <row r="76" spans="3:9" ht="13.2">
      <c r="C76" t="s">
        <v>48</v>
      </c>
      <c r="D76" s="6">
        <v>2039</v>
      </c>
      <c r="E76" t="s">
        <v>56</v>
      </c>
      <c r="F76" t="s">
        <v>53</v>
      </c>
      <c r="G76" s="22" t="s">
        <v>44</v>
      </c>
      <c r="H76" s="14"/>
      <c r="I76" s="14"/>
    </row>
    <row r="77" spans="3:9" ht="13.2">
      <c r="C77" t="s">
        <v>48</v>
      </c>
      <c r="D77" s="6">
        <v>2040</v>
      </c>
      <c r="E77" t="s">
        <v>56</v>
      </c>
      <c r="F77" t="s">
        <v>53</v>
      </c>
      <c r="G77" s="22" t="s">
        <v>44</v>
      </c>
      <c r="H77" s="14"/>
      <c r="I77" s="14"/>
    </row>
    <row r="78" spans="3:9" ht="13.2">
      <c r="C78" t="s">
        <v>48</v>
      </c>
      <c r="D78" s="6">
        <v>2041</v>
      </c>
      <c r="E78" t="s">
        <v>56</v>
      </c>
      <c r="F78" t="s">
        <v>53</v>
      </c>
      <c r="G78" s="22" t="s">
        <v>44</v>
      </c>
      <c r="H78" s="14"/>
      <c r="I78" s="14"/>
    </row>
    <row r="79" spans="3:9" ht="13.2">
      <c r="C79" t="s">
        <v>48</v>
      </c>
      <c r="D79" s="6">
        <v>2042</v>
      </c>
      <c r="E79" t="s">
        <v>56</v>
      </c>
      <c r="F79" t="s">
        <v>53</v>
      </c>
      <c r="G79" s="22" t="s">
        <v>44</v>
      </c>
      <c r="H79" s="14"/>
      <c r="I79" s="14"/>
    </row>
    <row r="80" spans="3:9" ht="13.2">
      <c r="C80" t="s">
        <v>48</v>
      </c>
      <c r="D80" s="6">
        <v>2043</v>
      </c>
      <c r="E80" t="s">
        <v>56</v>
      </c>
      <c r="F80" t="s">
        <v>53</v>
      </c>
      <c r="G80" s="22" t="s">
        <v>44</v>
      </c>
      <c r="H80" s="14"/>
      <c r="I80" s="14"/>
    </row>
    <row r="81" spans="2:9" ht="13.2">
      <c r="C81" t="s">
        <v>48</v>
      </c>
      <c r="D81" s="6">
        <v>2044</v>
      </c>
      <c r="E81" t="s">
        <v>56</v>
      </c>
      <c r="F81" t="s">
        <v>53</v>
      </c>
      <c r="G81" s="22" t="s">
        <v>44</v>
      </c>
      <c r="H81" s="14"/>
      <c r="I81" s="14"/>
    </row>
    <row r="82" spans="2:9" ht="13.2">
      <c r="C82" t="s">
        <v>48</v>
      </c>
      <c r="D82" s="6">
        <v>2045</v>
      </c>
      <c r="E82" t="s">
        <v>56</v>
      </c>
      <c r="F82" t="s">
        <v>53</v>
      </c>
      <c r="G82" s="22" t="s">
        <v>44</v>
      </c>
      <c r="H82" s="14"/>
      <c r="I82" s="14"/>
    </row>
    <row r="83" spans="2:9" ht="13.2">
      <c r="C83" t="s">
        <v>48</v>
      </c>
      <c r="D83" s="6">
        <v>2046</v>
      </c>
      <c r="E83" t="s">
        <v>56</v>
      </c>
      <c r="F83" t="s">
        <v>53</v>
      </c>
      <c r="G83" s="22" t="s">
        <v>44</v>
      </c>
      <c r="H83" s="14"/>
      <c r="I83" s="14"/>
    </row>
    <row r="84" spans="2:9" ht="13.2">
      <c r="C84" t="s">
        <v>48</v>
      </c>
      <c r="D84" s="6">
        <v>2047</v>
      </c>
      <c r="E84" t="s">
        <v>56</v>
      </c>
      <c r="F84" t="s">
        <v>53</v>
      </c>
      <c r="G84" s="22" t="s">
        <v>44</v>
      </c>
      <c r="H84" s="14"/>
      <c r="I84" s="14"/>
    </row>
    <row r="85" spans="2:9" ht="13.2">
      <c r="C85" t="s">
        <v>48</v>
      </c>
      <c r="D85" s="6">
        <v>2048</v>
      </c>
      <c r="E85" t="s">
        <v>56</v>
      </c>
      <c r="F85" t="s">
        <v>53</v>
      </c>
      <c r="G85" s="22" t="s">
        <v>44</v>
      </c>
      <c r="H85" s="14"/>
      <c r="I85" s="14"/>
    </row>
    <row r="86" spans="2:9" ht="13.2">
      <c r="C86" t="s">
        <v>48</v>
      </c>
      <c r="D86" s="6">
        <v>2049</v>
      </c>
      <c r="E86" t="s">
        <v>56</v>
      </c>
      <c r="F86" t="s">
        <v>53</v>
      </c>
      <c r="G86" s="22" t="s">
        <v>44</v>
      </c>
      <c r="H86" s="14"/>
      <c r="I86" s="14"/>
    </row>
    <row r="87" spans="2:9" ht="13.2">
      <c r="B87" s="7"/>
      <c r="C87" s="7" t="s">
        <v>48</v>
      </c>
      <c r="D87" s="8">
        <v>2050</v>
      </c>
      <c r="E87" s="7" t="s">
        <v>56</v>
      </c>
      <c r="F87" s="7" t="s">
        <v>53</v>
      </c>
      <c r="G87" s="23" t="s">
        <v>44</v>
      </c>
      <c r="H87" s="21"/>
      <c r="I87" s="19"/>
    </row>
    <row r="88" spans="2:9" ht="13.2">
      <c r="C88" t="s">
        <v>48</v>
      </c>
      <c r="D88" s="6">
        <v>2010</v>
      </c>
      <c r="E88" t="s">
        <v>58</v>
      </c>
      <c r="F88" t="s">
        <v>54</v>
      </c>
      <c r="G88" s="22" t="s">
        <v>44</v>
      </c>
      <c r="H88" s="14"/>
      <c r="I88" s="14"/>
    </row>
    <row r="89" spans="2:9" ht="13.2">
      <c r="C89" t="s">
        <v>48</v>
      </c>
      <c r="D89" s="6">
        <v>2011</v>
      </c>
      <c r="E89" s="9" t="s">
        <v>58</v>
      </c>
      <c r="F89" s="9" t="s">
        <v>54</v>
      </c>
      <c r="G89" s="22" t="s">
        <v>44</v>
      </c>
      <c r="H89" s="14"/>
      <c r="I89" s="14"/>
    </row>
    <row r="90" spans="2:9" ht="13.2">
      <c r="C90" t="s">
        <v>48</v>
      </c>
      <c r="D90" s="6">
        <v>2012</v>
      </c>
      <c r="E90" s="9" t="s">
        <v>58</v>
      </c>
      <c r="F90" s="9" t="s">
        <v>54</v>
      </c>
      <c r="G90" s="22" t="s">
        <v>44</v>
      </c>
      <c r="H90" s="14"/>
      <c r="I90" s="14"/>
    </row>
    <row r="91" spans="2:9" ht="13.2">
      <c r="C91" t="s">
        <v>48</v>
      </c>
      <c r="D91" s="6">
        <v>2013</v>
      </c>
      <c r="E91" s="9" t="s">
        <v>58</v>
      </c>
      <c r="F91" s="9" t="s">
        <v>54</v>
      </c>
      <c r="G91" s="22" t="s">
        <v>44</v>
      </c>
      <c r="H91" s="14"/>
      <c r="I91" s="14"/>
    </row>
    <row r="92" spans="2:9" ht="13.2">
      <c r="C92" t="s">
        <v>48</v>
      </c>
      <c r="D92" s="6">
        <v>2014</v>
      </c>
      <c r="E92" s="9" t="s">
        <v>58</v>
      </c>
      <c r="F92" s="9" t="s">
        <v>54</v>
      </c>
      <c r="G92" s="22" t="s">
        <v>44</v>
      </c>
      <c r="H92" s="14"/>
      <c r="I92" s="14"/>
    </row>
    <row r="93" spans="2:9" ht="13.2">
      <c r="C93" t="s">
        <v>48</v>
      </c>
      <c r="D93" s="6">
        <v>2015</v>
      </c>
      <c r="E93" s="9" t="s">
        <v>58</v>
      </c>
      <c r="F93" s="9" t="s">
        <v>54</v>
      </c>
      <c r="G93" s="22" t="s">
        <v>44</v>
      </c>
      <c r="H93" s="14"/>
      <c r="I93" s="14"/>
    </row>
    <row r="94" spans="2:9" ht="13.2">
      <c r="C94" t="s">
        <v>48</v>
      </c>
      <c r="D94" s="6">
        <v>2016</v>
      </c>
      <c r="E94" s="9" t="s">
        <v>58</v>
      </c>
      <c r="F94" s="9" t="s">
        <v>54</v>
      </c>
      <c r="G94" s="22" t="s">
        <v>44</v>
      </c>
      <c r="H94" s="14"/>
      <c r="I94" s="14"/>
    </row>
    <row r="95" spans="2:9" ht="13.2">
      <c r="C95" t="s">
        <v>48</v>
      </c>
      <c r="D95" s="6">
        <v>2017</v>
      </c>
      <c r="E95" s="9" t="s">
        <v>58</v>
      </c>
      <c r="F95" s="9" t="s">
        <v>54</v>
      </c>
      <c r="G95" s="22" t="s">
        <v>44</v>
      </c>
      <c r="H95" s="14"/>
      <c r="I95" s="14"/>
    </row>
    <row r="96" spans="2:9" ht="13.2">
      <c r="C96" t="s">
        <v>48</v>
      </c>
      <c r="D96" s="6">
        <v>2018</v>
      </c>
      <c r="E96" s="9" t="s">
        <v>58</v>
      </c>
      <c r="F96" s="9" t="s">
        <v>54</v>
      </c>
      <c r="G96" s="22" t="s">
        <v>44</v>
      </c>
      <c r="H96" s="14"/>
      <c r="I96" s="14"/>
    </row>
    <row r="97" spans="3:9" ht="13.2">
      <c r="C97" t="s">
        <v>48</v>
      </c>
      <c r="D97" s="6">
        <v>2019</v>
      </c>
      <c r="E97" s="9" t="s">
        <v>58</v>
      </c>
      <c r="F97" s="9" t="s">
        <v>54</v>
      </c>
      <c r="G97" s="22" t="s">
        <v>44</v>
      </c>
      <c r="H97" s="14"/>
      <c r="I97" s="14"/>
    </row>
    <row r="98" spans="3:9" ht="13.2">
      <c r="C98" t="s">
        <v>48</v>
      </c>
      <c r="D98" s="6">
        <v>2020</v>
      </c>
      <c r="E98" s="9" t="s">
        <v>58</v>
      </c>
      <c r="F98" s="9" t="s">
        <v>54</v>
      </c>
      <c r="G98" s="22" t="s">
        <v>44</v>
      </c>
      <c r="H98" s="14"/>
      <c r="I98" s="14"/>
    </row>
    <row r="99" spans="3:9" ht="13.2">
      <c r="C99" t="s">
        <v>48</v>
      </c>
      <c r="D99" s="6">
        <v>2021</v>
      </c>
      <c r="E99" s="9" t="s">
        <v>58</v>
      </c>
      <c r="F99" s="9" t="s">
        <v>54</v>
      </c>
      <c r="G99" s="22" t="s">
        <v>44</v>
      </c>
      <c r="H99" s="14"/>
      <c r="I99" s="14"/>
    </row>
    <row r="100" spans="3:9" ht="13.2">
      <c r="C100" t="s">
        <v>48</v>
      </c>
      <c r="D100" s="6">
        <v>2022</v>
      </c>
      <c r="E100" s="9" t="s">
        <v>58</v>
      </c>
      <c r="F100" s="9" t="s">
        <v>54</v>
      </c>
      <c r="G100" s="22" t="s">
        <v>44</v>
      </c>
      <c r="H100" s="14"/>
      <c r="I100" s="14"/>
    </row>
    <row r="101" spans="3:9" ht="13.2">
      <c r="C101" t="s">
        <v>48</v>
      </c>
      <c r="D101" s="6">
        <v>2023</v>
      </c>
      <c r="E101" s="9" t="s">
        <v>58</v>
      </c>
      <c r="F101" s="9" t="s">
        <v>54</v>
      </c>
      <c r="G101" s="22" t="s">
        <v>44</v>
      </c>
      <c r="H101" s="14"/>
      <c r="I101" s="14"/>
    </row>
    <row r="102" spans="3:9" ht="13.2">
      <c r="C102" t="s">
        <v>48</v>
      </c>
      <c r="D102" s="6">
        <v>2024</v>
      </c>
      <c r="E102" s="9" t="s">
        <v>58</v>
      </c>
      <c r="F102" s="9" t="s">
        <v>54</v>
      </c>
      <c r="G102" s="22" t="s">
        <v>44</v>
      </c>
      <c r="H102" s="14"/>
      <c r="I102" s="14"/>
    </row>
    <row r="103" spans="3:9" ht="13.2">
      <c r="C103" t="s">
        <v>48</v>
      </c>
      <c r="D103" s="6">
        <v>2025</v>
      </c>
      <c r="E103" s="9" t="s">
        <v>58</v>
      </c>
      <c r="F103" s="9" t="s">
        <v>54</v>
      </c>
      <c r="G103" s="22" t="s">
        <v>44</v>
      </c>
      <c r="H103" s="14"/>
      <c r="I103" s="14"/>
    </row>
    <row r="104" spans="3:9" ht="13.2">
      <c r="C104" t="s">
        <v>48</v>
      </c>
      <c r="D104" s="6">
        <v>2026</v>
      </c>
      <c r="E104" s="9" t="s">
        <v>58</v>
      </c>
      <c r="F104" s="9" t="s">
        <v>54</v>
      </c>
      <c r="G104" s="22" t="s">
        <v>44</v>
      </c>
      <c r="H104" s="14"/>
      <c r="I104" s="14"/>
    </row>
    <row r="105" spans="3:9" ht="13.2">
      <c r="C105" t="s">
        <v>48</v>
      </c>
      <c r="D105" s="6">
        <v>2027</v>
      </c>
      <c r="E105" s="9" t="s">
        <v>58</v>
      </c>
      <c r="F105" s="9" t="s">
        <v>54</v>
      </c>
      <c r="G105" s="22" t="s">
        <v>44</v>
      </c>
      <c r="H105" s="14"/>
      <c r="I105" s="14"/>
    </row>
    <row r="106" spans="3:9" ht="13.2">
      <c r="C106" t="s">
        <v>48</v>
      </c>
      <c r="D106" s="6">
        <v>2028</v>
      </c>
      <c r="E106" s="9" t="s">
        <v>58</v>
      </c>
      <c r="F106" s="9" t="s">
        <v>54</v>
      </c>
      <c r="G106" s="22" t="s">
        <v>44</v>
      </c>
      <c r="H106" s="14"/>
      <c r="I106" s="14"/>
    </row>
    <row r="107" spans="3:9" ht="13.2">
      <c r="C107" t="s">
        <v>48</v>
      </c>
      <c r="D107" s="6">
        <v>2029</v>
      </c>
      <c r="E107" s="9" t="s">
        <v>58</v>
      </c>
      <c r="F107" s="9" t="s">
        <v>54</v>
      </c>
      <c r="G107" s="22" t="s">
        <v>44</v>
      </c>
      <c r="H107" s="14"/>
      <c r="I107" s="14"/>
    </row>
    <row r="108" spans="3:9" ht="13.2">
      <c r="C108" t="s">
        <v>48</v>
      </c>
      <c r="D108" s="6">
        <v>2030</v>
      </c>
      <c r="E108" s="9" t="s">
        <v>58</v>
      </c>
      <c r="F108" s="9" t="s">
        <v>54</v>
      </c>
      <c r="G108" s="22" t="s">
        <v>44</v>
      </c>
      <c r="H108" s="14"/>
      <c r="I108" s="14"/>
    </row>
    <row r="109" spans="3:9" ht="13.2">
      <c r="C109" t="s">
        <v>48</v>
      </c>
      <c r="D109" s="6">
        <v>2031</v>
      </c>
      <c r="E109" s="9" t="s">
        <v>58</v>
      </c>
      <c r="F109" s="9" t="s">
        <v>54</v>
      </c>
      <c r="G109" s="22" t="s">
        <v>44</v>
      </c>
      <c r="H109" s="14"/>
      <c r="I109" s="14"/>
    </row>
    <row r="110" spans="3:9" ht="13.2">
      <c r="C110" t="s">
        <v>48</v>
      </c>
      <c r="D110" s="6">
        <v>2032</v>
      </c>
      <c r="E110" s="9" t="s">
        <v>58</v>
      </c>
      <c r="F110" s="9" t="s">
        <v>54</v>
      </c>
      <c r="G110" s="22" t="s">
        <v>44</v>
      </c>
      <c r="H110" s="14"/>
      <c r="I110" s="14"/>
    </row>
    <row r="111" spans="3:9" ht="13.2">
      <c r="C111" t="s">
        <v>48</v>
      </c>
      <c r="D111" s="6">
        <v>2033</v>
      </c>
      <c r="E111" s="9" t="s">
        <v>58</v>
      </c>
      <c r="F111" s="9" t="s">
        <v>54</v>
      </c>
      <c r="G111" s="22" t="s">
        <v>44</v>
      </c>
      <c r="H111" s="14"/>
      <c r="I111" s="14"/>
    </row>
    <row r="112" spans="3:9" ht="13.2">
      <c r="C112" t="s">
        <v>48</v>
      </c>
      <c r="D112" s="6">
        <v>2034</v>
      </c>
      <c r="E112" s="9" t="s">
        <v>58</v>
      </c>
      <c r="F112" s="9" t="s">
        <v>54</v>
      </c>
      <c r="G112" s="22" t="s">
        <v>44</v>
      </c>
      <c r="H112" s="14"/>
      <c r="I112" s="14"/>
    </row>
    <row r="113" spans="2:9" ht="13.2">
      <c r="C113" t="s">
        <v>48</v>
      </c>
      <c r="D113" s="6">
        <v>2035</v>
      </c>
      <c r="E113" s="9" t="s">
        <v>58</v>
      </c>
      <c r="F113" s="9" t="s">
        <v>54</v>
      </c>
      <c r="G113" s="22" t="s">
        <v>44</v>
      </c>
      <c r="H113" s="14"/>
      <c r="I113" s="14"/>
    </row>
    <row r="114" spans="2:9" ht="13.2">
      <c r="C114" t="s">
        <v>48</v>
      </c>
      <c r="D114" s="6">
        <v>2036</v>
      </c>
      <c r="E114" s="9" t="s">
        <v>58</v>
      </c>
      <c r="F114" s="9" t="s">
        <v>54</v>
      </c>
      <c r="G114" s="22" t="s">
        <v>44</v>
      </c>
      <c r="H114" s="14"/>
      <c r="I114" s="14"/>
    </row>
    <row r="115" spans="2:9" ht="13.2">
      <c r="C115" t="s">
        <v>48</v>
      </c>
      <c r="D115" s="6">
        <v>2037</v>
      </c>
      <c r="E115" s="9" t="s">
        <v>58</v>
      </c>
      <c r="F115" s="9" t="s">
        <v>54</v>
      </c>
      <c r="G115" s="22" t="s">
        <v>44</v>
      </c>
      <c r="H115" s="14"/>
      <c r="I115" s="14"/>
    </row>
    <row r="116" spans="2:9" ht="13.2">
      <c r="C116" t="s">
        <v>48</v>
      </c>
      <c r="D116" s="6">
        <v>2038</v>
      </c>
      <c r="E116" s="9" t="s">
        <v>58</v>
      </c>
      <c r="F116" s="9" t="s">
        <v>54</v>
      </c>
      <c r="G116" s="22" t="s">
        <v>44</v>
      </c>
      <c r="H116" s="14"/>
      <c r="I116" s="14"/>
    </row>
    <row r="117" spans="2:9" ht="13.2">
      <c r="C117" t="s">
        <v>48</v>
      </c>
      <c r="D117" s="6">
        <v>2039</v>
      </c>
      <c r="E117" s="9" t="s">
        <v>58</v>
      </c>
      <c r="F117" s="9" t="s">
        <v>54</v>
      </c>
      <c r="G117" s="22" t="s">
        <v>44</v>
      </c>
      <c r="H117" s="14"/>
      <c r="I117" s="14"/>
    </row>
    <row r="118" spans="2:9" ht="13.2">
      <c r="C118" t="s">
        <v>48</v>
      </c>
      <c r="D118" s="6">
        <v>2040</v>
      </c>
      <c r="E118" s="9" t="s">
        <v>58</v>
      </c>
      <c r="F118" s="9" t="s">
        <v>54</v>
      </c>
      <c r="G118" s="22" t="s">
        <v>44</v>
      </c>
      <c r="H118" s="14"/>
      <c r="I118" s="14"/>
    </row>
    <row r="119" spans="2:9" ht="13.2">
      <c r="C119" t="s">
        <v>48</v>
      </c>
      <c r="D119" s="6">
        <v>2041</v>
      </c>
      <c r="E119" s="9" t="s">
        <v>58</v>
      </c>
      <c r="F119" s="9" t="s">
        <v>54</v>
      </c>
      <c r="G119" s="22" t="s">
        <v>44</v>
      </c>
      <c r="H119" s="14"/>
      <c r="I119" s="14"/>
    </row>
    <row r="120" spans="2:9" ht="13.2">
      <c r="C120" t="s">
        <v>48</v>
      </c>
      <c r="D120" s="6">
        <v>2042</v>
      </c>
      <c r="E120" s="9" t="s">
        <v>58</v>
      </c>
      <c r="F120" s="9" t="s">
        <v>54</v>
      </c>
      <c r="G120" s="22" t="s">
        <v>44</v>
      </c>
      <c r="H120" s="14"/>
      <c r="I120" s="14"/>
    </row>
    <row r="121" spans="2:9" ht="13.2">
      <c r="C121" t="s">
        <v>48</v>
      </c>
      <c r="D121" s="6">
        <v>2043</v>
      </c>
      <c r="E121" s="9" t="s">
        <v>58</v>
      </c>
      <c r="F121" s="9" t="s">
        <v>54</v>
      </c>
      <c r="G121" s="22" t="s">
        <v>44</v>
      </c>
      <c r="H121" s="14"/>
      <c r="I121" s="14"/>
    </row>
    <row r="122" spans="2:9" ht="13.2">
      <c r="C122" t="s">
        <v>48</v>
      </c>
      <c r="D122" s="6">
        <v>2044</v>
      </c>
      <c r="E122" s="9" t="s">
        <v>58</v>
      </c>
      <c r="F122" s="9" t="s">
        <v>54</v>
      </c>
      <c r="G122" s="22" t="s">
        <v>44</v>
      </c>
      <c r="H122" s="14"/>
      <c r="I122" s="14"/>
    </row>
    <row r="123" spans="2:9" ht="13.2">
      <c r="C123" t="s">
        <v>48</v>
      </c>
      <c r="D123" s="6">
        <v>2045</v>
      </c>
      <c r="E123" s="9" t="s">
        <v>58</v>
      </c>
      <c r="F123" s="9" t="s">
        <v>54</v>
      </c>
      <c r="G123" s="22" t="s">
        <v>44</v>
      </c>
      <c r="H123" s="14"/>
      <c r="I123" s="14"/>
    </row>
    <row r="124" spans="2:9" ht="13.2">
      <c r="C124" t="s">
        <v>48</v>
      </c>
      <c r="D124" s="6">
        <v>2046</v>
      </c>
      <c r="E124" s="9" t="s">
        <v>58</v>
      </c>
      <c r="F124" s="9" t="s">
        <v>54</v>
      </c>
      <c r="G124" s="22" t="s">
        <v>44</v>
      </c>
      <c r="H124" s="14"/>
      <c r="I124" s="14"/>
    </row>
    <row r="125" spans="2:9" ht="13.2">
      <c r="C125" t="s">
        <v>48</v>
      </c>
      <c r="D125" s="6">
        <v>2047</v>
      </c>
      <c r="E125" s="9" t="s">
        <v>58</v>
      </c>
      <c r="F125" s="9" t="s">
        <v>54</v>
      </c>
      <c r="G125" s="22" t="s">
        <v>44</v>
      </c>
      <c r="H125" s="14"/>
      <c r="I125" s="14"/>
    </row>
    <row r="126" spans="2:9" ht="13.2">
      <c r="C126" t="s">
        <v>48</v>
      </c>
      <c r="D126" s="6">
        <v>2048</v>
      </c>
      <c r="E126" s="9" t="s">
        <v>58</v>
      </c>
      <c r="F126" s="9" t="s">
        <v>54</v>
      </c>
      <c r="G126" s="22" t="s">
        <v>44</v>
      </c>
      <c r="H126" s="14"/>
      <c r="I126" s="14"/>
    </row>
    <row r="127" spans="2:9" ht="13.2">
      <c r="C127" t="s">
        <v>48</v>
      </c>
      <c r="D127" s="6">
        <v>2049</v>
      </c>
      <c r="E127" s="9" t="s">
        <v>58</v>
      </c>
      <c r="F127" s="9" t="s">
        <v>54</v>
      </c>
      <c r="G127" s="22" t="s">
        <v>44</v>
      </c>
      <c r="H127" s="14"/>
      <c r="I127" s="14"/>
    </row>
    <row r="128" spans="2:9" ht="13.2">
      <c r="B128" s="7"/>
      <c r="C128" s="7" t="s">
        <v>48</v>
      </c>
      <c r="D128" s="8">
        <v>2050</v>
      </c>
      <c r="E128" s="7" t="s">
        <v>58</v>
      </c>
      <c r="F128" s="7" t="s">
        <v>54</v>
      </c>
      <c r="G128" s="23" t="s">
        <v>44</v>
      </c>
      <c r="H128" s="21"/>
      <c r="I128" s="19"/>
    </row>
    <row r="129" spans="3:9" ht="13.2">
      <c r="C129" t="s">
        <v>48</v>
      </c>
      <c r="D129" s="6">
        <v>2010</v>
      </c>
      <c r="E129" t="s">
        <v>59</v>
      </c>
      <c r="F129" t="s">
        <v>54</v>
      </c>
      <c r="G129" s="22" t="s">
        <v>44</v>
      </c>
      <c r="H129" s="14"/>
      <c r="I129" s="14"/>
    </row>
    <row r="130" spans="3:9" ht="13.2">
      <c r="C130" t="s">
        <v>48</v>
      </c>
      <c r="D130" s="6">
        <v>2011</v>
      </c>
      <c r="E130" s="9" t="s">
        <v>59</v>
      </c>
      <c r="F130" s="9" t="s">
        <v>54</v>
      </c>
      <c r="G130" s="22" t="s">
        <v>44</v>
      </c>
      <c r="H130" s="14"/>
      <c r="I130" s="14"/>
    </row>
    <row r="131" spans="3:9" ht="13.2">
      <c r="C131" t="s">
        <v>48</v>
      </c>
      <c r="D131" s="6">
        <v>2012</v>
      </c>
      <c r="E131" s="9" t="s">
        <v>59</v>
      </c>
      <c r="F131" s="9" t="s">
        <v>54</v>
      </c>
      <c r="G131" s="22" t="s">
        <v>44</v>
      </c>
      <c r="H131" s="14"/>
      <c r="I131" s="14"/>
    </row>
    <row r="132" spans="3:9" ht="13.2">
      <c r="C132" t="s">
        <v>48</v>
      </c>
      <c r="D132" s="6">
        <v>2013</v>
      </c>
      <c r="E132" s="9" t="s">
        <v>59</v>
      </c>
      <c r="F132" s="9" t="s">
        <v>54</v>
      </c>
      <c r="G132" s="22" t="s">
        <v>44</v>
      </c>
      <c r="H132" s="14"/>
      <c r="I132" s="14"/>
    </row>
    <row r="133" spans="3:9" ht="13.2">
      <c r="C133" t="s">
        <v>48</v>
      </c>
      <c r="D133" s="6">
        <v>2014</v>
      </c>
      <c r="E133" s="9" t="s">
        <v>59</v>
      </c>
      <c r="F133" s="9" t="s">
        <v>54</v>
      </c>
      <c r="G133" s="22" t="s">
        <v>44</v>
      </c>
      <c r="H133" s="14"/>
      <c r="I133" s="14"/>
    </row>
    <row r="134" spans="3:9" ht="13.2">
      <c r="C134" t="s">
        <v>48</v>
      </c>
      <c r="D134" s="6">
        <v>2015</v>
      </c>
      <c r="E134" s="9" t="s">
        <v>59</v>
      </c>
      <c r="F134" s="9" t="s">
        <v>54</v>
      </c>
      <c r="G134" s="22" t="s">
        <v>44</v>
      </c>
      <c r="H134" s="14"/>
      <c r="I134" s="14"/>
    </row>
    <row r="135" spans="3:9" ht="13.2">
      <c r="C135" t="s">
        <v>48</v>
      </c>
      <c r="D135" s="6">
        <v>2016</v>
      </c>
      <c r="E135" s="9" t="s">
        <v>59</v>
      </c>
      <c r="F135" s="9" t="s">
        <v>54</v>
      </c>
      <c r="G135" s="22" t="s">
        <v>44</v>
      </c>
      <c r="H135" s="14"/>
      <c r="I135" s="14"/>
    </row>
    <row r="136" spans="3:9" ht="13.2">
      <c r="C136" t="s">
        <v>48</v>
      </c>
      <c r="D136" s="6">
        <v>2017</v>
      </c>
      <c r="E136" s="9" t="s">
        <v>59</v>
      </c>
      <c r="F136" s="9" t="s">
        <v>54</v>
      </c>
      <c r="G136" s="22" t="s">
        <v>44</v>
      </c>
      <c r="H136" s="14"/>
      <c r="I136" s="14"/>
    </row>
    <row r="137" spans="3:9" ht="13.2">
      <c r="C137" t="s">
        <v>48</v>
      </c>
      <c r="D137" s="6">
        <v>2018</v>
      </c>
      <c r="E137" s="9" t="s">
        <v>59</v>
      </c>
      <c r="F137" s="9" t="s">
        <v>54</v>
      </c>
      <c r="G137" s="22" t="s">
        <v>44</v>
      </c>
      <c r="H137" s="14"/>
      <c r="I137" s="14"/>
    </row>
    <row r="138" spans="3:9" ht="13.2">
      <c r="C138" t="s">
        <v>48</v>
      </c>
      <c r="D138" s="6">
        <v>2019</v>
      </c>
      <c r="E138" s="9" t="s">
        <v>59</v>
      </c>
      <c r="F138" s="9" t="s">
        <v>54</v>
      </c>
      <c r="G138" s="22" t="s">
        <v>44</v>
      </c>
      <c r="H138" s="14"/>
      <c r="I138" s="14"/>
    </row>
    <row r="139" spans="3:9" ht="13.2">
      <c r="C139" t="s">
        <v>48</v>
      </c>
      <c r="D139" s="6">
        <v>2020</v>
      </c>
      <c r="E139" s="9" t="s">
        <v>59</v>
      </c>
      <c r="F139" s="9" t="s">
        <v>54</v>
      </c>
      <c r="G139" s="22" t="s">
        <v>44</v>
      </c>
      <c r="H139" s="14"/>
      <c r="I139" s="14"/>
    </row>
    <row r="140" spans="3:9" ht="13.2">
      <c r="C140" t="s">
        <v>48</v>
      </c>
      <c r="D140" s="6">
        <v>2021</v>
      </c>
      <c r="E140" s="9" t="s">
        <v>59</v>
      </c>
      <c r="F140" s="9" t="s">
        <v>54</v>
      </c>
      <c r="G140" s="22" t="s">
        <v>44</v>
      </c>
      <c r="H140" s="14"/>
      <c r="I140" s="14"/>
    </row>
    <row r="141" spans="3:9" ht="13.2">
      <c r="C141" t="s">
        <v>48</v>
      </c>
      <c r="D141" s="6">
        <v>2022</v>
      </c>
      <c r="E141" s="9" t="s">
        <v>59</v>
      </c>
      <c r="F141" s="9" t="s">
        <v>54</v>
      </c>
      <c r="G141" s="22" t="s">
        <v>44</v>
      </c>
      <c r="H141" s="14"/>
      <c r="I141" s="14"/>
    </row>
    <row r="142" spans="3:9" ht="13.2">
      <c r="C142" t="s">
        <v>48</v>
      </c>
      <c r="D142" s="6">
        <v>2023</v>
      </c>
      <c r="E142" s="9" t="s">
        <v>59</v>
      </c>
      <c r="F142" s="9" t="s">
        <v>54</v>
      </c>
      <c r="G142" s="22" t="s">
        <v>44</v>
      </c>
      <c r="H142" s="14"/>
      <c r="I142" s="14"/>
    </row>
    <row r="143" spans="3:9" ht="13.2">
      <c r="C143" t="s">
        <v>48</v>
      </c>
      <c r="D143" s="6">
        <v>2024</v>
      </c>
      <c r="E143" s="9" t="s">
        <v>59</v>
      </c>
      <c r="F143" s="9" t="s">
        <v>54</v>
      </c>
      <c r="G143" s="22" t="s">
        <v>44</v>
      </c>
      <c r="H143" s="14"/>
      <c r="I143" s="14"/>
    </row>
    <row r="144" spans="3:9" ht="13.2">
      <c r="C144" t="s">
        <v>48</v>
      </c>
      <c r="D144" s="6">
        <v>2025</v>
      </c>
      <c r="E144" s="9" t="s">
        <v>59</v>
      </c>
      <c r="F144" s="9" t="s">
        <v>54</v>
      </c>
      <c r="G144" s="22" t="s">
        <v>44</v>
      </c>
      <c r="H144" s="14"/>
      <c r="I144" s="14"/>
    </row>
    <row r="145" spans="3:9" ht="13.2">
      <c r="C145" t="s">
        <v>48</v>
      </c>
      <c r="D145" s="6">
        <v>2026</v>
      </c>
      <c r="E145" s="9" t="s">
        <v>59</v>
      </c>
      <c r="F145" s="9" t="s">
        <v>54</v>
      </c>
      <c r="G145" s="22" t="s">
        <v>44</v>
      </c>
      <c r="H145" s="14"/>
      <c r="I145" s="14"/>
    </row>
    <row r="146" spans="3:9" ht="13.2">
      <c r="C146" t="s">
        <v>48</v>
      </c>
      <c r="D146" s="6">
        <v>2027</v>
      </c>
      <c r="E146" s="9" t="s">
        <v>59</v>
      </c>
      <c r="F146" s="9" t="s">
        <v>54</v>
      </c>
      <c r="G146" s="22" t="s">
        <v>44</v>
      </c>
      <c r="H146" s="14"/>
      <c r="I146" s="14"/>
    </row>
    <row r="147" spans="3:9" ht="13.2">
      <c r="C147" t="s">
        <v>48</v>
      </c>
      <c r="D147" s="6">
        <v>2028</v>
      </c>
      <c r="E147" s="9" t="s">
        <v>59</v>
      </c>
      <c r="F147" s="9" t="s">
        <v>54</v>
      </c>
      <c r="G147" s="22" t="s">
        <v>44</v>
      </c>
      <c r="H147" s="14"/>
      <c r="I147" s="14"/>
    </row>
    <row r="148" spans="3:9" ht="13.2">
      <c r="C148" t="s">
        <v>48</v>
      </c>
      <c r="D148" s="6">
        <v>2029</v>
      </c>
      <c r="E148" s="9" t="s">
        <v>59</v>
      </c>
      <c r="F148" s="9" t="s">
        <v>54</v>
      </c>
      <c r="G148" s="22" t="s">
        <v>44</v>
      </c>
      <c r="H148" s="14"/>
      <c r="I148" s="14"/>
    </row>
    <row r="149" spans="3:9" ht="13.2">
      <c r="C149" t="s">
        <v>48</v>
      </c>
      <c r="D149" s="6">
        <v>2030</v>
      </c>
      <c r="E149" s="9" t="s">
        <v>59</v>
      </c>
      <c r="F149" s="9" t="s">
        <v>54</v>
      </c>
      <c r="G149" s="22" t="s">
        <v>44</v>
      </c>
      <c r="H149" s="14"/>
      <c r="I149" s="14"/>
    </row>
    <row r="150" spans="3:9" ht="13.2">
      <c r="C150" t="s">
        <v>48</v>
      </c>
      <c r="D150" s="6">
        <v>2031</v>
      </c>
      <c r="E150" s="9" t="s">
        <v>59</v>
      </c>
      <c r="F150" s="9" t="s">
        <v>54</v>
      </c>
      <c r="G150" s="22" t="s">
        <v>44</v>
      </c>
      <c r="H150" s="14"/>
      <c r="I150" s="14"/>
    </row>
    <row r="151" spans="3:9" ht="13.2">
      <c r="C151" t="s">
        <v>48</v>
      </c>
      <c r="D151" s="6">
        <v>2032</v>
      </c>
      <c r="E151" s="9" t="s">
        <v>59</v>
      </c>
      <c r="F151" s="9" t="s">
        <v>54</v>
      </c>
      <c r="G151" s="22" t="s">
        <v>44</v>
      </c>
      <c r="H151" s="14"/>
      <c r="I151" s="14"/>
    </row>
    <row r="152" spans="3:9" ht="13.2">
      <c r="C152" t="s">
        <v>48</v>
      </c>
      <c r="D152" s="6">
        <v>2033</v>
      </c>
      <c r="E152" s="9" t="s">
        <v>59</v>
      </c>
      <c r="F152" s="9" t="s">
        <v>54</v>
      </c>
      <c r="G152" s="22" t="s">
        <v>44</v>
      </c>
      <c r="H152" s="14"/>
      <c r="I152" s="14"/>
    </row>
    <row r="153" spans="3:9" ht="13.2">
      <c r="C153" t="s">
        <v>48</v>
      </c>
      <c r="D153" s="6">
        <v>2034</v>
      </c>
      <c r="E153" s="9" t="s">
        <v>59</v>
      </c>
      <c r="F153" s="9" t="s">
        <v>54</v>
      </c>
      <c r="G153" s="22" t="s">
        <v>44</v>
      </c>
      <c r="H153" s="14"/>
      <c r="I153" s="14"/>
    </row>
    <row r="154" spans="3:9" ht="13.2">
      <c r="C154" t="s">
        <v>48</v>
      </c>
      <c r="D154" s="6">
        <v>2035</v>
      </c>
      <c r="E154" s="9" t="s">
        <v>59</v>
      </c>
      <c r="F154" s="9" t="s">
        <v>54</v>
      </c>
      <c r="G154" s="22" t="s">
        <v>44</v>
      </c>
      <c r="H154" s="14"/>
      <c r="I154" s="14"/>
    </row>
    <row r="155" spans="3:9" ht="13.2">
      <c r="C155" t="s">
        <v>48</v>
      </c>
      <c r="D155" s="6">
        <v>2036</v>
      </c>
      <c r="E155" s="9" t="s">
        <v>59</v>
      </c>
      <c r="F155" s="9" t="s">
        <v>54</v>
      </c>
      <c r="G155" s="22" t="s">
        <v>44</v>
      </c>
      <c r="H155" s="14"/>
      <c r="I155" s="14"/>
    </row>
    <row r="156" spans="3:9" ht="13.2">
      <c r="C156" t="s">
        <v>48</v>
      </c>
      <c r="D156" s="6">
        <v>2037</v>
      </c>
      <c r="E156" s="9" t="s">
        <v>59</v>
      </c>
      <c r="F156" s="9" t="s">
        <v>54</v>
      </c>
      <c r="G156" s="22" t="s">
        <v>44</v>
      </c>
      <c r="H156" s="14"/>
      <c r="I156" s="14"/>
    </row>
    <row r="157" spans="3:9" ht="13.2">
      <c r="C157" t="s">
        <v>48</v>
      </c>
      <c r="D157" s="6">
        <v>2038</v>
      </c>
      <c r="E157" s="9" t="s">
        <v>59</v>
      </c>
      <c r="F157" s="9" t="s">
        <v>54</v>
      </c>
      <c r="G157" s="22" t="s">
        <v>44</v>
      </c>
      <c r="H157" s="14"/>
      <c r="I157" s="14"/>
    </row>
    <row r="158" spans="3:9" ht="13.2">
      <c r="C158" t="s">
        <v>48</v>
      </c>
      <c r="D158" s="6">
        <v>2039</v>
      </c>
      <c r="E158" s="9" t="s">
        <v>59</v>
      </c>
      <c r="F158" s="9" t="s">
        <v>54</v>
      </c>
      <c r="G158" s="22" t="s">
        <v>44</v>
      </c>
      <c r="H158" s="14"/>
      <c r="I158" s="14"/>
    </row>
    <row r="159" spans="3:9" ht="13.2">
      <c r="C159" t="s">
        <v>48</v>
      </c>
      <c r="D159" s="6">
        <v>2040</v>
      </c>
      <c r="E159" s="9" t="s">
        <v>59</v>
      </c>
      <c r="F159" s="9" t="s">
        <v>54</v>
      </c>
      <c r="G159" s="22" t="s">
        <v>44</v>
      </c>
      <c r="H159" s="14"/>
      <c r="I159" s="14"/>
    </row>
    <row r="160" spans="3:9" ht="13.2">
      <c r="C160" t="s">
        <v>48</v>
      </c>
      <c r="D160" s="6">
        <v>2041</v>
      </c>
      <c r="E160" s="9" t="s">
        <v>59</v>
      </c>
      <c r="F160" s="9" t="s">
        <v>54</v>
      </c>
      <c r="G160" s="22" t="s">
        <v>44</v>
      </c>
      <c r="H160" s="14"/>
      <c r="I160" s="14"/>
    </row>
    <row r="161" spans="2:9" ht="13.2">
      <c r="C161" t="s">
        <v>48</v>
      </c>
      <c r="D161" s="6">
        <v>2042</v>
      </c>
      <c r="E161" s="9" t="s">
        <v>59</v>
      </c>
      <c r="F161" s="9" t="s">
        <v>54</v>
      </c>
      <c r="G161" s="22" t="s">
        <v>44</v>
      </c>
      <c r="H161" s="14"/>
      <c r="I161" s="14"/>
    </row>
    <row r="162" spans="2:9" ht="13.2">
      <c r="C162" t="s">
        <v>48</v>
      </c>
      <c r="D162" s="6">
        <v>2043</v>
      </c>
      <c r="E162" s="9" t="s">
        <v>59</v>
      </c>
      <c r="F162" s="9" t="s">
        <v>54</v>
      </c>
      <c r="G162" s="22" t="s">
        <v>44</v>
      </c>
      <c r="H162" s="14"/>
      <c r="I162" s="14"/>
    </row>
    <row r="163" spans="2:9" ht="13.2">
      <c r="C163" t="s">
        <v>48</v>
      </c>
      <c r="D163" s="6">
        <v>2044</v>
      </c>
      <c r="E163" s="9" t="s">
        <v>59</v>
      </c>
      <c r="F163" s="9" t="s">
        <v>54</v>
      </c>
      <c r="G163" s="22" t="s">
        <v>44</v>
      </c>
      <c r="H163" s="14"/>
      <c r="I163" s="14"/>
    </row>
    <row r="164" spans="2:9" ht="13.2">
      <c r="C164" t="s">
        <v>48</v>
      </c>
      <c r="D164" s="6">
        <v>2045</v>
      </c>
      <c r="E164" s="9" t="s">
        <v>59</v>
      </c>
      <c r="F164" s="9" t="s">
        <v>54</v>
      </c>
      <c r="G164" s="22" t="s">
        <v>44</v>
      </c>
      <c r="H164" s="14"/>
      <c r="I164" s="14"/>
    </row>
    <row r="165" spans="2:9" ht="13.2">
      <c r="C165" t="s">
        <v>48</v>
      </c>
      <c r="D165" s="6">
        <v>2046</v>
      </c>
      <c r="E165" s="9" t="s">
        <v>59</v>
      </c>
      <c r="F165" s="9" t="s">
        <v>54</v>
      </c>
      <c r="G165" s="22" t="s">
        <v>44</v>
      </c>
      <c r="H165" s="14"/>
      <c r="I165" s="14"/>
    </row>
    <row r="166" spans="2:9" ht="13.2">
      <c r="C166" t="s">
        <v>48</v>
      </c>
      <c r="D166" s="6">
        <v>2047</v>
      </c>
      <c r="E166" s="9" t="s">
        <v>59</v>
      </c>
      <c r="F166" s="9" t="s">
        <v>54</v>
      </c>
      <c r="G166" s="22" t="s">
        <v>44</v>
      </c>
      <c r="H166" s="14"/>
      <c r="I166" s="14"/>
    </row>
    <row r="167" spans="2:9" ht="13.2">
      <c r="C167" t="s">
        <v>48</v>
      </c>
      <c r="D167" s="6">
        <v>2048</v>
      </c>
      <c r="E167" s="9" t="s">
        <v>59</v>
      </c>
      <c r="F167" s="9" t="s">
        <v>54</v>
      </c>
      <c r="G167" s="22" t="s">
        <v>44</v>
      </c>
      <c r="H167" s="14"/>
      <c r="I167" s="14"/>
    </row>
    <row r="168" spans="2:9" ht="13.2">
      <c r="C168" s="9" t="s">
        <v>48</v>
      </c>
      <c r="D168" s="20">
        <v>2049</v>
      </c>
      <c r="E168" s="9" t="s">
        <v>59</v>
      </c>
      <c r="F168" s="9" t="s">
        <v>54</v>
      </c>
      <c r="G168" s="22" t="s">
        <v>44</v>
      </c>
      <c r="H168" s="14"/>
      <c r="I168" s="14"/>
    </row>
    <row r="169" spans="2:9" ht="13.2">
      <c r="B169" s="7"/>
      <c r="C169" s="7" t="s">
        <v>48</v>
      </c>
      <c r="D169" s="8">
        <v>2050</v>
      </c>
      <c r="E169" s="7" t="s">
        <v>59</v>
      </c>
      <c r="F169" s="9" t="s">
        <v>54</v>
      </c>
      <c r="G169" s="23" t="s">
        <v>44</v>
      </c>
      <c r="H169" s="21"/>
      <c r="I169" s="19"/>
    </row>
    <row r="170" spans="2:9" ht="13.2">
      <c r="C170" t="s">
        <v>48</v>
      </c>
      <c r="D170" s="6">
        <v>2010</v>
      </c>
      <c r="E170" t="s">
        <v>50</v>
      </c>
      <c r="F170" s="24" t="s">
        <v>61</v>
      </c>
      <c r="G170" s="22" t="s">
        <v>44</v>
      </c>
      <c r="H170" s="14"/>
      <c r="I170" s="14"/>
    </row>
    <row r="171" spans="2:9" ht="13.2">
      <c r="C171" t="s">
        <v>48</v>
      </c>
      <c r="D171" s="6">
        <v>2011</v>
      </c>
      <c r="E171" t="s">
        <v>50</v>
      </c>
      <c r="F171" s="9" t="s">
        <v>61</v>
      </c>
      <c r="G171" s="22" t="s">
        <v>44</v>
      </c>
      <c r="H171" s="14"/>
      <c r="I171" s="14"/>
    </row>
    <row r="172" spans="2:9" ht="13.2">
      <c r="C172" t="s">
        <v>48</v>
      </c>
      <c r="D172" s="6">
        <v>2012</v>
      </c>
      <c r="E172" t="s">
        <v>50</v>
      </c>
      <c r="F172" s="9" t="s">
        <v>61</v>
      </c>
      <c r="G172" s="22" t="s">
        <v>44</v>
      </c>
      <c r="H172" s="14"/>
      <c r="I172" s="14"/>
    </row>
    <row r="173" spans="2:9" ht="13.2">
      <c r="C173" t="s">
        <v>48</v>
      </c>
      <c r="D173" s="6">
        <v>2013</v>
      </c>
      <c r="E173" t="s">
        <v>50</v>
      </c>
      <c r="F173" s="9" t="s">
        <v>61</v>
      </c>
      <c r="G173" s="22" t="s">
        <v>44</v>
      </c>
      <c r="H173" s="14"/>
      <c r="I173" s="14"/>
    </row>
    <row r="174" spans="2:9" ht="13.2">
      <c r="C174" t="s">
        <v>48</v>
      </c>
      <c r="D174" s="6">
        <v>2014</v>
      </c>
      <c r="E174" t="s">
        <v>50</v>
      </c>
      <c r="F174" s="9" t="s">
        <v>61</v>
      </c>
      <c r="G174" s="22" t="s">
        <v>44</v>
      </c>
      <c r="H174" s="14"/>
      <c r="I174" s="14"/>
    </row>
    <row r="175" spans="2:9" ht="13.2">
      <c r="C175" t="s">
        <v>48</v>
      </c>
      <c r="D175" s="6">
        <v>2015</v>
      </c>
      <c r="E175" t="s">
        <v>50</v>
      </c>
      <c r="F175" s="9" t="s">
        <v>61</v>
      </c>
      <c r="G175" s="22" t="s">
        <v>44</v>
      </c>
      <c r="H175" s="14"/>
      <c r="I175" s="14"/>
    </row>
    <row r="176" spans="2:9" ht="13.2">
      <c r="C176" t="s">
        <v>48</v>
      </c>
      <c r="D176" s="6">
        <v>2016</v>
      </c>
      <c r="E176" t="s">
        <v>50</v>
      </c>
      <c r="F176" s="9" t="s">
        <v>61</v>
      </c>
      <c r="G176" s="22" t="s">
        <v>44</v>
      </c>
      <c r="H176" s="14"/>
      <c r="I176" s="14"/>
    </row>
    <row r="177" spans="3:9" ht="13.2">
      <c r="C177" t="s">
        <v>48</v>
      </c>
      <c r="D177" s="6">
        <v>2017</v>
      </c>
      <c r="E177" t="s">
        <v>50</v>
      </c>
      <c r="F177" s="9" t="s">
        <v>61</v>
      </c>
      <c r="G177" s="22" t="s">
        <v>44</v>
      </c>
      <c r="H177" s="14"/>
      <c r="I177" s="14"/>
    </row>
    <row r="178" spans="3:9" ht="13.2">
      <c r="C178" t="s">
        <v>48</v>
      </c>
      <c r="D178" s="6">
        <v>2018</v>
      </c>
      <c r="E178" t="s">
        <v>50</v>
      </c>
      <c r="F178" s="9" t="s">
        <v>61</v>
      </c>
      <c r="G178" s="22" t="s">
        <v>44</v>
      </c>
      <c r="H178" s="14"/>
      <c r="I178" s="14"/>
    </row>
    <row r="179" spans="3:9" ht="13.2">
      <c r="C179" t="s">
        <v>48</v>
      </c>
      <c r="D179" s="6">
        <v>2019</v>
      </c>
      <c r="E179" t="s">
        <v>50</v>
      </c>
      <c r="F179" s="9" t="s">
        <v>61</v>
      </c>
      <c r="G179" s="22" t="s">
        <v>44</v>
      </c>
      <c r="H179" s="14"/>
      <c r="I179" s="14"/>
    </row>
    <row r="180" spans="3:9" ht="13.2">
      <c r="C180" t="s">
        <v>48</v>
      </c>
      <c r="D180" s="6">
        <v>2020</v>
      </c>
      <c r="E180" t="s">
        <v>50</v>
      </c>
      <c r="F180" s="9" t="s">
        <v>61</v>
      </c>
      <c r="G180" s="22" t="s">
        <v>44</v>
      </c>
      <c r="H180" s="14"/>
      <c r="I180" s="14"/>
    </row>
    <row r="181" spans="3:9" ht="13.2">
      <c r="C181" t="s">
        <v>48</v>
      </c>
      <c r="D181" s="6">
        <v>2021</v>
      </c>
      <c r="E181" t="s">
        <v>50</v>
      </c>
      <c r="F181" s="9" t="s">
        <v>61</v>
      </c>
      <c r="G181" s="22" t="s">
        <v>44</v>
      </c>
      <c r="H181" s="14"/>
      <c r="I181" s="14"/>
    </row>
    <row r="182" spans="3:9" ht="13.2">
      <c r="C182" t="s">
        <v>48</v>
      </c>
      <c r="D182" s="6">
        <v>2022</v>
      </c>
      <c r="E182" t="s">
        <v>50</v>
      </c>
      <c r="F182" s="9" t="s">
        <v>61</v>
      </c>
      <c r="G182" s="22" t="s">
        <v>44</v>
      </c>
      <c r="H182" s="14"/>
      <c r="I182" s="14"/>
    </row>
    <row r="183" spans="3:9" ht="13.2">
      <c r="C183" t="s">
        <v>48</v>
      </c>
      <c r="D183" s="6">
        <v>2023</v>
      </c>
      <c r="E183" t="s">
        <v>50</v>
      </c>
      <c r="F183" s="9" t="s">
        <v>61</v>
      </c>
      <c r="G183" s="22" t="s">
        <v>44</v>
      </c>
      <c r="H183" s="14"/>
      <c r="I183" s="14"/>
    </row>
    <row r="184" spans="3:9" ht="13.2">
      <c r="C184" t="s">
        <v>48</v>
      </c>
      <c r="D184" s="6">
        <v>2024</v>
      </c>
      <c r="E184" t="s">
        <v>50</v>
      </c>
      <c r="F184" s="9" t="s">
        <v>61</v>
      </c>
      <c r="G184" s="22" t="s">
        <v>44</v>
      </c>
      <c r="H184" s="14"/>
      <c r="I184" s="14"/>
    </row>
    <row r="185" spans="3:9" ht="13.2">
      <c r="C185" t="s">
        <v>48</v>
      </c>
      <c r="D185" s="6">
        <v>2025</v>
      </c>
      <c r="E185" t="s">
        <v>50</v>
      </c>
      <c r="F185" s="9" t="s">
        <v>61</v>
      </c>
      <c r="G185" s="22" t="s">
        <v>44</v>
      </c>
      <c r="H185" s="14"/>
      <c r="I185" s="14"/>
    </row>
    <row r="186" spans="3:9" ht="13.2">
      <c r="C186" t="s">
        <v>48</v>
      </c>
      <c r="D186" s="6">
        <v>2026</v>
      </c>
      <c r="E186" t="s">
        <v>50</v>
      </c>
      <c r="F186" s="9" t="s">
        <v>61</v>
      </c>
      <c r="G186" s="22" t="s">
        <v>44</v>
      </c>
      <c r="H186" s="14"/>
      <c r="I186" s="14"/>
    </row>
    <row r="187" spans="3:9" ht="13.2">
      <c r="C187" t="s">
        <v>48</v>
      </c>
      <c r="D187" s="6">
        <v>2027</v>
      </c>
      <c r="E187" t="s">
        <v>50</v>
      </c>
      <c r="F187" s="9" t="s">
        <v>61</v>
      </c>
      <c r="G187" s="22" t="s">
        <v>44</v>
      </c>
      <c r="H187" s="14"/>
      <c r="I187" s="14"/>
    </row>
    <row r="188" spans="3:9" ht="13.2">
      <c r="C188" t="s">
        <v>48</v>
      </c>
      <c r="D188" s="6">
        <v>2028</v>
      </c>
      <c r="E188" t="s">
        <v>50</v>
      </c>
      <c r="F188" s="9" t="s">
        <v>61</v>
      </c>
      <c r="G188" s="22" t="s">
        <v>44</v>
      </c>
      <c r="H188" s="14"/>
      <c r="I188" s="14"/>
    </row>
    <row r="189" spans="3:9" ht="13.2">
      <c r="C189" t="s">
        <v>48</v>
      </c>
      <c r="D189" s="6">
        <v>2029</v>
      </c>
      <c r="E189" t="s">
        <v>50</v>
      </c>
      <c r="F189" s="9" t="s">
        <v>61</v>
      </c>
      <c r="G189" s="22" t="s">
        <v>44</v>
      </c>
      <c r="H189" s="14"/>
      <c r="I189" s="14"/>
    </row>
    <row r="190" spans="3:9" ht="13.2">
      <c r="C190" t="s">
        <v>48</v>
      </c>
      <c r="D190" s="6">
        <v>2030</v>
      </c>
      <c r="E190" t="s">
        <v>50</v>
      </c>
      <c r="F190" s="9" t="s">
        <v>61</v>
      </c>
      <c r="G190" s="22" t="s">
        <v>44</v>
      </c>
      <c r="H190" s="14"/>
      <c r="I190" s="14"/>
    </row>
    <row r="191" spans="3:9" ht="13.2">
      <c r="C191" t="s">
        <v>48</v>
      </c>
      <c r="D191" s="6">
        <v>2031</v>
      </c>
      <c r="E191" t="s">
        <v>50</v>
      </c>
      <c r="F191" s="9" t="s">
        <v>61</v>
      </c>
      <c r="G191" s="22" t="s">
        <v>44</v>
      </c>
      <c r="H191" s="14"/>
      <c r="I191" s="14"/>
    </row>
    <row r="192" spans="3:9" ht="13.2">
      <c r="C192" t="s">
        <v>48</v>
      </c>
      <c r="D192" s="6">
        <v>2032</v>
      </c>
      <c r="E192" t="s">
        <v>50</v>
      </c>
      <c r="F192" s="9" t="s">
        <v>61</v>
      </c>
      <c r="G192" s="22" t="s">
        <v>44</v>
      </c>
      <c r="H192" s="14"/>
      <c r="I192" s="14"/>
    </row>
    <row r="193" spans="3:9" ht="13.2">
      <c r="C193" t="s">
        <v>48</v>
      </c>
      <c r="D193" s="6">
        <v>2033</v>
      </c>
      <c r="E193" t="s">
        <v>50</v>
      </c>
      <c r="F193" s="9" t="s">
        <v>61</v>
      </c>
      <c r="G193" s="22" t="s">
        <v>44</v>
      </c>
      <c r="H193" s="14"/>
      <c r="I193" s="14"/>
    </row>
    <row r="194" spans="3:9" ht="13.2">
      <c r="C194" t="s">
        <v>48</v>
      </c>
      <c r="D194" s="6">
        <v>2034</v>
      </c>
      <c r="E194" t="s">
        <v>50</v>
      </c>
      <c r="F194" s="9" t="s">
        <v>61</v>
      </c>
      <c r="G194" s="22" t="s">
        <v>44</v>
      </c>
      <c r="H194" s="14"/>
      <c r="I194" s="14"/>
    </row>
    <row r="195" spans="3:9" ht="13.2">
      <c r="C195" t="s">
        <v>48</v>
      </c>
      <c r="D195" s="6">
        <v>2035</v>
      </c>
      <c r="E195" t="s">
        <v>50</v>
      </c>
      <c r="F195" s="9" t="s">
        <v>61</v>
      </c>
      <c r="G195" s="22" t="s">
        <v>44</v>
      </c>
      <c r="H195" s="14"/>
      <c r="I195" s="14"/>
    </row>
    <row r="196" spans="3:9" ht="13.2">
      <c r="C196" t="s">
        <v>48</v>
      </c>
      <c r="D196" s="6">
        <v>2036</v>
      </c>
      <c r="E196" t="s">
        <v>50</v>
      </c>
      <c r="F196" s="9" t="s">
        <v>61</v>
      </c>
      <c r="G196" s="22" t="s">
        <v>44</v>
      </c>
      <c r="H196" s="14"/>
      <c r="I196" s="14"/>
    </row>
    <row r="197" spans="3:9" ht="13.2">
      <c r="C197" t="s">
        <v>48</v>
      </c>
      <c r="D197" s="6">
        <v>2037</v>
      </c>
      <c r="E197" t="s">
        <v>50</v>
      </c>
      <c r="F197" s="9" t="s">
        <v>61</v>
      </c>
      <c r="G197" s="22" t="s">
        <v>44</v>
      </c>
      <c r="H197" s="14"/>
      <c r="I197" s="14"/>
    </row>
    <row r="198" spans="3:9" ht="13.2">
      <c r="C198" t="s">
        <v>48</v>
      </c>
      <c r="D198" s="6">
        <v>2038</v>
      </c>
      <c r="E198" t="s">
        <v>50</v>
      </c>
      <c r="F198" s="9" t="s">
        <v>61</v>
      </c>
      <c r="G198" s="22" t="s">
        <v>44</v>
      </c>
      <c r="H198" s="14"/>
      <c r="I198" s="14"/>
    </row>
    <row r="199" spans="3:9" ht="13.2">
      <c r="C199" t="s">
        <v>48</v>
      </c>
      <c r="D199" s="6">
        <v>2039</v>
      </c>
      <c r="E199" t="s">
        <v>50</v>
      </c>
      <c r="F199" s="9" t="s">
        <v>61</v>
      </c>
      <c r="G199" s="22" t="s">
        <v>44</v>
      </c>
      <c r="H199" s="14"/>
      <c r="I199" s="14"/>
    </row>
    <row r="200" spans="3:9" ht="13.2">
      <c r="C200" t="s">
        <v>48</v>
      </c>
      <c r="D200" s="6">
        <v>2040</v>
      </c>
      <c r="E200" t="s">
        <v>50</v>
      </c>
      <c r="F200" s="9" t="s">
        <v>61</v>
      </c>
      <c r="G200" s="22" t="s">
        <v>44</v>
      </c>
      <c r="H200" s="14"/>
      <c r="I200" s="14"/>
    </row>
    <row r="201" spans="3:9" ht="13.2">
      <c r="C201" t="s">
        <v>48</v>
      </c>
      <c r="D201" s="6">
        <v>2041</v>
      </c>
      <c r="E201" t="s">
        <v>50</v>
      </c>
      <c r="F201" s="9" t="s">
        <v>61</v>
      </c>
      <c r="G201" s="22" t="s">
        <v>44</v>
      </c>
      <c r="H201" s="14"/>
      <c r="I201" s="14"/>
    </row>
    <row r="202" spans="3:9" ht="13.2">
      <c r="C202" t="s">
        <v>48</v>
      </c>
      <c r="D202" s="6">
        <v>2042</v>
      </c>
      <c r="E202" t="s">
        <v>50</v>
      </c>
      <c r="F202" s="9" t="s">
        <v>61</v>
      </c>
      <c r="G202" s="22" t="s">
        <v>44</v>
      </c>
      <c r="H202" s="14"/>
      <c r="I202" s="14"/>
    </row>
    <row r="203" spans="3:9" ht="13.2">
      <c r="C203" t="s">
        <v>48</v>
      </c>
      <c r="D203" s="6">
        <v>2043</v>
      </c>
      <c r="E203" t="s">
        <v>50</v>
      </c>
      <c r="F203" s="9" t="s">
        <v>61</v>
      </c>
      <c r="G203" s="22" t="s">
        <v>44</v>
      </c>
      <c r="H203" s="14"/>
      <c r="I203" s="14"/>
    </row>
    <row r="204" spans="3:9" ht="13.2">
      <c r="C204" t="s">
        <v>48</v>
      </c>
      <c r="D204" s="6">
        <v>2044</v>
      </c>
      <c r="E204" t="s">
        <v>50</v>
      </c>
      <c r="F204" s="9" t="s">
        <v>61</v>
      </c>
      <c r="G204" s="22" t="s">
        <v>44</v>
      </c>
      <c r="H204" s="14"/>
      <c r="I204" s="14"/>
    </row>
    <row r="205" spans="3:9" ht="13.2">
      <c r="C205" t="s">
        <v>48</v>
      </c>
      <c r="D205" s="6">
        <v>2045</v>
      </c>
      <c r="E205" t="s">
        <v>50</v>
      </c>
      <c r="F205" s="9" t="s">
        <v>61</v>
      </c>
      <c r="G205" s="22" t="s">
        <v>44</v>
      </c>
      <c r="H205" s="14"/>
      <c r="I205" s="14"/>
    </row>
    <row r="206" spans="3:9" ht="13.2">
      <c r="C206" t="s">
        <v>48</v>
      </c>
      <c r="D206" s="6">
        <v>2046</v>
      </c>
      <c r="E206" t="s">
        <v>50</v>
      </c>
      <c r="F206" s="9" t="s">
        <v>61</v>
      </c>
      <c r="G206" s="22" t="s">
        <v>44</v>
      </c>
      <c r="H206" s="14"/>
      <c r="I206" s="14"/>
    </row>
    <row r="207" spans="3:9" ht="13.2">
      <c r="C207" t="s">
        <v>48</v>
      </c>
      <c r="D207" s="6">
        <v>2047</v>
      </c>
      <c r="E207" t="s">
        <v>50</v>
      </c>
      <c r="F207" s="9" t="s">
        <v>61</v>
      </c>
      <c r="G207" s="22" t="s">
        <v>44</v>
      </c>
      <c r="H207" s="14"/>
      <c r="I207" s="14"/>
    </row>
    <row r="208" spans="3:9" ht="13.2">
      <c r="C208" t="s">
        <v>48</v>
      </c>
      <c r="D208" s="6">
        <v>2048</v>
      </c>
      <c r="E208" t="s">
        <v>50</v>
      </c>
      <c r="F208" s="9" t="s">
        <v>61</v>
      </c>
      <c r="G208" s="22" t="s">
        <v>44</v>
      </c>
      <c r="H208" s="14"/>
      <c r="I208" s="14"/>
    </row>
    <row r="209" spans="2:9" ht="13.2">
      <c r="C209" s="9" t="s">
        <v>48</v>
      </c>
      <c r="D209" s="20">
        <v>2049</v>
      </c>
      <c r="E209" t="s">
        <v>50</v>
      </c>
      <c r="F209" s="9" t="s">
        <v>61</v>
      </c>
      <c r="G209" s="22" t="s">
        <v>44</v>
      </c>
      <c r="H209" s="14"/>
      <c r="I209" s="14"/>
    </row>
    <row r="210" spans="2:9" ht="13.2">
      <c r="B210" s="7"/>
      <c r="C210" s="7" t="s">
        <v>48</v>
      </c>
      <c r="D210" s="8">
        <v>2050</v>
      </c>
      <c r="E210" s="7" t="s">
        <v>50</v>
      </c>
      <c r="F210" s="7" t="s">
        <v>61</v>
      </c>
      <c r="G210" s="23" t="s">
        <v>44</v>
      </c>
      <c r="H210" s="21"/>
      <c r="I210" s="19"/>
    </row>
    <row r="211" spans="2:9" ht="13.2">
      <c r="C211" t="s">
        <v>48</v>
      </c>
      <c r="D211" s="6">
        <v>2010</v>
      </c>
      <c r="E211" t="s">
        <v>50</v>
      </c>
      <c r="F211" s="9" t="s">
        <v>60</v>
      </c>
      <c r="G211" s="22" t="s">
        <v>44</v>
      </c>
      <c r="H211" s="14"/>
      <c r="I211" s="14"/>
    </row>
    <row r="212" spans="2:9" ht="13.2">
      <c r="C212" t="s">
        <v>48</v>
      </c>
      <c r="D212" s="6">
        <v>2011</v>
      </c>
      <c r="E212" s="9" t="s">
        <v>50</v>
      </c>
      <c r="F212" s="9" t="s">
        <v>60</v>
      </c>
      <c r="G212" s="22" t="s">
        <v>44</v>
      </c>
      <c r="H212" s="14"/>
      <c r="I212" s="14"/>
    </row>
    <row r="213" spans="2:9" ht="13.2">
      <c r="C213" t="s">
        <v>48</v>
      </c>
      <c r="D213" s="6">
        <v>2012</v>
      </c>
      <c r="E213" s="9" t="s">
        <v>50</v>
      </c>
      <c r="F213" s="9" t="s">
        <v>60</v>
      </c>
      <c r="G213" s="22" t="s">
        <v>44</v>
      </c>
      <c r="H213" s="14"/>
      <c r="I213" s="14"/>
    </row>
    <row r="214" spans="2:9" ht="13.2">
      <c r="C214" t="s">
        <v>48</v>
      </c>
      <c r="D214" s="6">
        <v>2013</v>
      </c>
      <c r="E214" s="9" t="s">
        <v>50</v>
      </c>
      <c r="F214" s="9" t="s">
        <v>60</v>
      </c>
      <c r="G214" s="22" t="s">
        <v>44</v>
      </c>
      <c r="H214" s="14"/>
      <c r="I214" s="14"/>
    </row>
    <row r="215" spans="2:9" ht="13.2">
      <c r="C215" t="s">
        <v>48</v>
      </c>
      <c r="D215" s="6">
        <v>2014</v>
      </c>
      <c r="E215" s="9" t="s">
        <v>50</v>
      </c>
      <c r="F215" s="9" t="s">
        <v>60</v>
      </c>
      <c r="G215" s="22" t="s">
        <v>44</v>
      </c>
      <c r="H215" s="14"/>
      <c r="I215" s="14"/>
    </row>
    <row r="216" spans="2:9" ht="13.2">
      <c r="C216" t="s">
        <v>48</v>
      </c>
      <c r="D216" s="6">
        <v>2015</v>
      </c>
      <c r="E216" s="9" t="s">
        <v>50</v>
      </c>
      <c r="F216" s="9" t="s">
        <v>60</v>
      </c>
      <c r="G216" s="22" t="s">
        <v>44</v>
      </c>
      <c r="H216" s="14"/>
      <c r="I216" s="14"/>
    </row>
    <row r="217" spans="2:9" ht="13.2">
      <c r="C217" t="s">
        <v>48</v>
      </c>
      <c r="D217" s="6">
        <v>2016</v>
      </c>
      <c r="E217" s="9" t="s">
        <v>50</v>
      </c>
      <c r="F217" s="9" t="s">
        <v>60</v>
      </c>
      <c r="G217" s="22" t="s">
        <v>44</v>
      </c>
      <c r="H217" s="14"/>
      <c r="I217" s="14"/>
    </row>
    <row r="218" spans="2:9" ht="13.2">
      <c r="C218" t="s">
        <v>48</v>
      </c>
      <c r="D218" s="6">
        <v>2017</v>
      </c>
      <c r="E218" s="9" t="s">
        <v>50</v>
      </c>
      <c r="F218" s="9" t="s">
        <v>60</v>
      </c>
      <c r="G218" s="22" t="s">
        <v>44</v>
      </c>
      <c r="H218" s="14"/>
      <c r="I218" s="14"/>
    </row>
    <row r="219" spans="2:9" ht="13.2">
      <c r="C219" t="s">
        <v>48</v>
      </c>
      <c r="D219" s="6">
        <v>2018</v>
      </c>
      <c r="E219" s="9" t="s">
        <v>50</v>
      </c>
      <c r="F219" s="9" t="s">
        <v>60</v>
      </c>
      <c r="G219" s="22" t="s">
        <v>44</v>
      </c>
      <c r="H219" s="14"/>
      <c r="I219" s="14"/>
    </row>
    <row r="220" spans="2:9" ht="13.2">
      <c r="C220" t="s">
        <v>48</v>
      </c>
      <c r="D220" s="6">
        <v>2019</v>
      </c>
      <c r="E220" s="9" t="s">
        <v>50</v>
      </c>
      <c r="F220" s="9" t="s">
        <v>60</v>
      </c>
      <c r="G220" s="22" t="s">
        <v>44</v>
      </c>
      <c r="H220" s="14"/>
      <c r="I220" s="14"/>
    </row>
    <row r="221" spans="2:9" ht="13.2">
      <c r="C221" t="s">
        <v>48</v>
      </c>
      <c r="D221" s="6">
        <v>2020</v>
      </c>
      <c r="E221" s="9" t="s">
        <v>50</v>
      </c>
      <c r="F221" s="9" t="s">
        <v>60</v>
      </c>
      <c r="G221" s="22" t="s">
        <v>44</v>
      </c>
      <c r="H221" s="14"/>
      <c r="I221" s="14"/>
    </row>
    <row r="222" spans="2:9" ht="13.2">
      <c r="C222" t="s">
        <v>48</v>
      </c>
      <c r="D222" s="6">
        <v>2021</v>
      </c>
      <c r="E222" s="9" t="s">
        <v>50</v>
      </c>
      <c r="F222" s="9" t="s">
        <v>60</v>
      </c>
      <c r="G222" s="22" t="s">
        <v>44</v>
      </c>
      <c r="H222" s="14"/>
      <c r="I222" s="14"/>
    </row>
    <row r="223" spans="2:9" ht="13.2">
      <c r="C223" t="s">
        <v>48</v>
      </c>
      <c r="D223" s="6">
        <v>2022</v>
      </c>
      <c r="E223" s="9" t="s">
        <v>50</v>
      </c>
      <c r="F223" s="9" t="s">
        <v>60</v>
      </c>
      <c r="G223" s="22" t="s">
        <v>44</v>
      </c>
      <c r="H223" s="14"/>
      <c r="I223" s="14"/>
    </row>
    <row r="224" spans="2:9" ht="13.2">
      <c r="C224" t="s">
        <v>48</v>
      </c>
      <c r="D224" s="6">
        <v>2023</v>
      </c>
      <c r="E224" s="9" t="s">
        <v>50</v>
      </c>
      <c r="F224" s="9" t="s">
        <v>60</v>
      </c>
      <c r="G224" s="22" t="s">
        <v>44</v>
      </c>
      <c r="H224" s="14"/>
      <c r="I224" s="14"/>
    </row>
    <row r="225" spans="3:9" ht="13.2">
      <c r="C225" t="s">
        <v>48</v>
      </c>
      <c r="D225" s="6">
        <v>2024</v>
      </c>
      <c r="E225" s="9" t="s">
        <v>50</v>
      </c>
      <c r="F225" s="9" t="s">
        <v>60</v>
      </c>
      <c r="G225" s="22" t="s">
        <v>44</v>
      </c>
      <c r="H225" s="14"/>
      <c r="I225" s="14"/>
    </row>
    <row r="226" spans="3:9" ht="13.2">
      <c r="C226" t="s">
        <v>48</v>
      </c>
      <c r="D226" s="6">
        <v>2025</v>
      </c>
      <c r="E226" s="9" t="s">
        <v>50</v>
      </c>
      <c r="F226" s="9" t="s">
        <v>60</v>
      </c>
      <c r="G226" s="22" t="s">
        <v>44</v>
      </c>
      <c r="H226" s="14"/>
      <c r="I226" s="14"/>
    </row>
    <row r="227" spans="3:9" ht="13.2">
      <c r="C227" t="s">
        <v>48</v>
      </c>
      <c r="D227" s="6">
        <v>2026</v>
      </c>
      <c r="E227" s="9" t="s">
        <v>50</v>
      </c>
      <c r="F227" s="9" t="s">
        <v>60</v>
      </c>
      <c r="G227" s="22" t="s">
        <v>44</v>
      </c>
      <c r="H227" s="14"/>
      <c r="I227" s="14"/>
    </row>
    <row r="228" spans="3:9" ht="13.2">
      <c r="C228" t="s">
        <v>48</v>
      </c>
      <c r="D228" s="6">
        <v>2027</v>
      </c>
      <c r="E228" s="9" t="s">
        <v>50</v>
      </c>
      <c r="F228" s="9" t="s">
        <v>60</v>
      </c>
      <c r="G228" s="22" t="s">
        <v>44</v>
      </c>
      <c r="H228" s="14"/>
      <c r="I228" s="14"/>
    </row>
    <row r="229" spans="3:9" ht="13.2">
      <c r="C229" t="s">
        <v>48</v>
      </c>
      <c r="D229" s="6">
        <v>2028</v>
      </c>
      <c r="E229" s="9" t="s">
        <v>50</v>
      </c>
      <c r="F229" s="9" t="s">
        <v>60</v>
      </c>
      <c r="G229" s="22" t="s">
        <v>44</v>
      </c>
      <c r="H229" s="14"/>
      <c r="I229" s="14"/>
    </row>
    <row r="230" spans="3:9" ht="13.2">
      <c r="C230" t="s">
        <v>48</v>
      </c>
      <c r="D230" s="6">
        <v>2029</v>
      </c>
      <c r="E230" s="9" t="s">
        <v>50</v>
      </c>
      <c r="F230" s="9" t="s">
        <v>60</v>
      </c>
      <c r="G230" s="22" t="s">
        <v>44</v>
      </c>
      <c r="H230" s="14"/>
      <c r="I230" s="14"/>
    </row>
    <row r="231" spans="3:9" ht="13.2">
      <c r="C231" t="s">
        <v>48</v>
      </c>
      <c r="D231" s="6">
        <v>2030</v>
      </c>
      <c r="E231" s="9" t="s">
        <v>50</v>
      </c>
      <c r="F231" s="9" t="s">
        <v>60</v>
      </c>
      <c r="G231" s="22" t="s">
        <v>44</v>
      </c>
      <c r="H231" s="14"/>
      <c r="I231" s="14"/>
    </row>
    <row r="232" spans="3:9" ht="13.2">
      <c r="C232" t="s">
        <v>48</v>
      </c>
      <c r="D232" s="6">
        <v>2031</v>
      </c>
      <c r="E232" s="9" t="s">
        <v>50</v>
      </c>
      <c r="F232" s="9" t="s">
        <v>60</v>
      </c>
      <c r="G232" s="22" t="s">
        <v>44</v>
      </c>
      <c r="H232" s="14"/>
      <c r="I232" s="14"/>
    </row>
    <row r="233" spans="3:9" ht="13.2">
      <c r="C233" t="s">
        <v>48</v>
      </c>
      <c r="D233" s="6">
        <v>2032</v>
      </c>
      <c r="E233" s="9" t="s">
        <v>50</v>
      </c>
      <c r="F233" s="9" t="s">
        <v>60</v>
      </c>
      <c r="G233" s="22" t="s">
        <v>44</v>
      </c>
      <c r="H233" s="14"/>
      <c r="I233" s="14"/>
    </row>
    <row r="234" spans="3:9" ht="13.2">
      <c r="C234" t="s">
        <v>48</v>
      </c>
      <c r="D234" s="6">
        <v>2033</v>
      </c>
      <c r="E234" s="9" t="s">
        <v>50</v>
      </c>
      <c r="F234" s="9" t="s">
        <v>60</v>
      </c>
      <c r="G234" s="22" t="s">
        <v>44</v>
      </c>
      <c r="H234" s="14"/>
      <c r="I234" s="14"/>
    </row>
    <row r="235" spans="3:9" ht="13.2">
      <c r="C235" t="s">
        <v>48</v>
      </c>
      <c r="D235" s="6">
        <v>2034</v>
      </c>
      <c r="E235" s="9" t="s">
        <v>50</v>
      </c>
      <c r="F235" s="9" t="s">
        <v>60</v>
      </c>
      <c r="G235" s="22" t="s">
        <v>44</v>
      </c>
      <c r="H235" s="14"/>
      <c r="I235" s="14"/>
    </row>
    <row r="236" spans="3:9" ht="13.2">
      <c r="C236" t="s">
        <v>48</v>
      </c>
      <c r="D236" s="6">
        <v>2035</v>
      </c>
      <c r="E236" s="9" t="s">
        <v>50</v>
      </c>
      <c r="F236" s="9" t="s">
        <v>60</v>
      </c>
      <c r="G236" s="22" t="s">
        <v>44</v>
      </c>
      <c r="H236" s="14"/>
      <c r="I236" s="14"/>
    </row>
    <row r="237" spans="3:9" ht="13.2">
      <c r="C237" t="s">
        <v>48</v>
      </c>
      <c r="D237" s="6">
        <v>2036</v>
      </c>
      <c r="E237" s="9" t="s">
        <v>50</v>
      </c>
      <c r="F237" s="9" t="s">
        <v>60</v>
      </c>
      <c r="G237" s="22" t="s">
        <v>44</v>
      </c>
      <c r="H237" s="14"/>
      <c r="I237" s="14"/>
    </row>
    <row r="238" spans="3:9" ht="13.2">
      <c r="C238" t="s">
        <v>48</v>
      </c>
      <c r="D238" s="6">
        <v>2037</v>
      </c>
      <c r="E238" s="9" t="s">
        <v>50</v>
      </c>
      <c r="F238" s="9" t="s">
        <v>60</v>
      </c>
      <c r="G238" s="22" t="s">
        <v>44</v>
      </c>
      <c r="H238" s="14"/>
      <c r="I238" s="14"/>
    </row>
    <row r="239" spans="3:9" ht="13.2">
      <c r="C239" t="s">
        <v>48</v>
      </c>
      <c r="D239" s="6">
        <v>2038</v>
      </c>
      <c r="E239" s="9" t="s">
        <v>50</v>
      </c>
      <c r="F239" s="9" t="s">
        <v>60</v>
      </c>
      <c r="G239" s="22" t="s">
        <v>44</v>
      </c>
      <c r="H239" s="14"/>
      <c r="I239" s="14"/>
    </row>
    <row r="240" spans="3:9" ht="13.2">
      <c r="C240" t="s">
        <v>48</v>
      </c>
      <c r="D240" s="6">
        <v>2039</v>
      </c>
      <c r="E240" s="9" t="s">
        <v>50</v>
      </c>
      <c r="F240" s="9" t="s">
        <v>60</v>
      </c>
      <c r="G240" s="22" t="s">
        <v>44</v>
      </c>
      <c r="H240" s="14"/>
      <c r="I240" s="14"/>
    </row>
    <row r="241" spans="2:9" ht="13.2">
      <c r="C241" t="s">
        <v>48</v>
      </c>
      <c r="D241" s="6">
        <v>2040</v>
      </c>
      <c r="E241" s="9" t="s">
        <v>50</v>
      </c>
      <c r="F241" s="9" t="s">
        <v>60</v>
      </c>
      <c r="G241" s="22" t="s">
        <v>44</v>
      </c>
      <c r="H241" s="14"/>
      <c r="I241" s="14"/>
    </row>
    <row r="242" spans="2:9" ht="13.2">
      <c r="C242" t="s">
        <v>48</v>
      </c>
      <c r="D242" s="6">
        <v>2041</v>
      </c>
      <c r="E242" s="9" t="s">
        <v>50</v>
      </c>
      <c r="F242" s="9" t="s">
        <v>60</v>
      </c>
      <c r="G242" s="22" t="s">
        <v>44</v>
      </c>
      <c r="H242" s="14"/>
      <c r="I242" s="14"/>
    </row>
    <row r="243" spans="2:9" ht="13.2">
      <c r="C243" t="s">
        <v>48</v>
      </c>
      <c r="D243" s="6">
        <v>2042</v>
      </c>
      <c r="E243" s="9" t="s">
        <v>50</v>
      </c>
      <c r="F243" s="9" t="s">
        <v>60</v>
      </c>
      <c r="G243" s="22" t="s">
        <v>44</v>
      </c>
      <c r="H243" s="14"/>
      <c r="I243" s="14"/>
    </row>
    <row r="244" spans="2:9" ht="13.2">
      <c r="C244" t="s">
        <v>48</v>
      </c>
      <c r="D244" s="6">
        <v>2043</v>
      </c>
      <c r="E244" s="9" t="s">
        <v>50</v>
      </c>
      <c r="F244" s="9" t="s">
        <v>60</v>
      </c>
      <c r="G244" s="22" t="s">
        <v>44</v>
      </c>
      <c r="H244" s="14"/>
      <c r="I244" s="14"/>
    </row>
    <row r="245" spans="2:9" ht="13.2">
      <c r="C245" t="s">
        <v>48</v>
      </c>
      <c r="D245" s="6">
        <v>2044</v>
      </c>
      <c r="E245" s="9" t="s">
        <v>50</v>
      </c>
      <c r="F245" s="9" t="s">
        <v>60</v>
      </c>
      <c r="G245" s="22" t="s">
        <v>44</v>
      </c>
      <c r="H245" s="14"/>
      <c r="I245" s="14"/>
    </row>
    <row r="246" spans="2:9" ht="13.2">
      <c r="C246" t="s">
        <v>48</v>
      </c>
      <c r="D246" s="6">
        <v>2045</v>
      </c>
      <c r="E246" s="9" t="s">
        <v>50</v>
      </c>
      <c r="F246" s="9" t="s">
        <v>60</v>
      </c>
      <c r="G246" s="22" t="s">
        <v>44</v>
      </c>
      <c r="H246" s="14"/>
      <c r="I246" s="14"/>
    </row>
    <row r="247" spans="2:9" ht="13.2">
      <c r="C247" t="s">
        <v>48</v>
      </c>
      <c r="D247" s="6">
        <v>2046</v>
      </c>
      <c r="E247" s="9" t="s">
        <v>50</v>
      </c>
      <c r="F247" s="9" t="s">
        <v>60</v>
      </c>
      <c r="G247" s="22" t="s">
        <v>44</v>
      </c>
      <c r="H247" s="14"/>
      <c r="I247" s="14"/>
    </row>
    <row r="248" spans="2:9" ht="13.2">
      <c r="C248" t="s">
        <v>48</v>
      </c>
      <c r="D248" s="6">
        <v>2047</v>
      </c>
      <c r="E248" s="9" t="s">
        <v>50</v>
      </c>
      <c r="F248" s="9" t="s">
        <v>60</v>
      </c>
      <c r="G248" s="22" t="s">
        <v>44</v>
      </c>
      <c r="H248" s="14"/>
      <c r="I248" s="14"/>
    </row>
    <row r="249" spans="2:9" ht="13.2">
      <c r="C249" t="s">
        <v>48</v>
      </c>
      <c r="D249" s="6">
        <v>2048</v>
      </c>
      <c r="E249" s="9" t="s">
        <v>50</v>
      </c>
      <c r="F249" s="9" t="s">
        <v>60</v>
      </c>
      <c r="G249" s="22" t="s">
        <v>44</v>
      </c>
      <c r="H249" s="14"/>
      <c r="I249" s="14"/>
    </row>
    <row r="250" spans="2:9" ht="13.2">
      <c r="C250" s="9" t="s">
        <v>48</v>
      </c>
      <c r="D250" s="20">
        <v>2049</v>
      </c>
      <c r="E250" s="9" t="s">
        <v>50</v>
      </c>
      <c r="F250" s="9" t="s">
        <v>60</v>
      </c>
      <c r="G250" s="22" t="s">
        <v>44</v>
      </c>
      <c r="H250" s="14"/>
      <c r="I250" s="14"/>
    </row>
    <row r="251" spans="2:9" ht="13.2">
      <c r="B251" s="7"/>
      <c r="C251" s="7" t="s">
        <v>48</v>
      </c>
      <c r="D251" s="8">
        <v>2050</v>
      </c>
      <c r="E251" s="7" t="s">
        <v>50</v>
      </c>
      <c r="F251" s="7" t="s">
        <v>60</v>
      </c>
      <c r="G251" s="23" t="s">
        <v>44</v>
      </c>
      <c r="H251" s="21"/>
      <c r="I251" s="19"/>
    </row>
    <row r="252" spans="2:9" ht="13.2">
      <c r="D252" s="6"/>
      <c r="G252" s="22"/>
      <c r="H252" s="14"/>
      <c r="I252" s="14"/>
    </row>
    <row r="253" spans="2:9" ht="13.2">
      <c r="D253" s="6"/>
      <c r="G253" s="22"/>
      <c r="H253" s="14"/>
      <c r="I253" s="14"/>
    </row>
    <row r="254" spans="2:9" ht="13.2">
      <c r="D254" s="6"/>
      <c r="G254" s="22"/>
      <c r="H254" s="14"/>
      <c r="I254" s="14"/>
    </row>
    <row r="255" spans="2:9" ht="13.2">
      <c r="D255" s="6"/>
      <c r="G255" s="22"/>
      <c r="H255" s="14"/>
      <c r="I255" s="14"/>
    </row>
    <row r="256" spans="2:9" ht="13.2">
      <c r="D256" s="6"/>
      <c r="G256" s="22"/>
      <c r="H256" s="14"/>
      <c r="I256" s="14"/>
    </row>
    <row r="257" spans="4:9" ht="13.2">
      <c r="D257" s="6"/>
      <c r="G257" s="22"/>
      <c r="H257" s="14"/>
      <c r="I257" s="14"/>
    </row>
    <row r="258" spans="4:9" ht="13.2">
      <c r="D258" s="6"/>
      <c r="G258" s="22"/>
      <c r="H258" s="14"/>
      <c r="I258" s="14"/>
    </row>
    <row r="259" spans="4:9" ht="13.2">
      <c r="D259" s="6"/>
      <c r="G259" s="22"/>
      <c r="H259" s="14"/>
      <c r="I259" s="14"/>
    </row>
    <row r="260" spans="4:9" ht="13.2">
      <c r="D260" s="6"/>
      <c r="G260" s="22"/>
      <c r="H260" s="14"/>
      <c r="I260" s="14"/>
    </row>
    <row r="261" spans="4:9" ht="13.2">
      <c r="D261" s="6"/>
      <c r="G261" s="22"/>
      <c r="H261" s="14"/>
      <c r="I261" s="14"/>
    </row>
    <row r="262" spans="4:9" ht="13.2">
      <c r="D262" s="6"/>
      <c r="G262" s="22"/>
      <c r="H262" s="14"/>
      <c r="I262" s="14"/>
    </row>
    <row r="263" spans="4:9" ht="13.2">
      <c r="D263" s="6"/>
      <c r="G263" s="22"/>
      <c r="H263" s="14"/>
      <c r="I263" s="14"/>
    </row>
    <row r="264" spans="4:9" ht="13.2">
      <c r="D264" s="6"/>
      <c r="G264" s="22"/>
      <c r="H264" s="14"/>
      <c r="I264" s="14"/>
    </row>
    <row r="265" spans="4:9" ht="13.2">
      <c r="D265" s="6"/>
      <c r="G265" s="22"/>
      <c r="H265" s="14"/>
      <c r="I265" s="14"/>
    </row>
    <row r="266" spans="4:9" ht="13.2">
      <c r="D266" s="6"/>
      <c r="G266" s="22"/>
      <c r="H266" s="14"/>
      <c r="I266" s="14"/>
    </row>
    <row r="267" spans="4:9" ht="13.2">
      <c r="D267" s="6"/>
      <c r="G267" s="22"/>
      <c r="H267" s="14"/>
      <c r="I267" s="14"/>
    </row>
    <row r="268" spans="4:9" ht="13.2">
      <c r="D268" s="6"/>
      <c r="G268" s="22"/>
      <c r="H268" s="14"/>
      <c r="I268" s="14"/>
    </row>
    <row r="269" spans="4:9" ht="13.2">
      <c r="D269" s="6"/>
      <c r="G269" s="22"/>
      <c r="H269" s="14"/>
      <c r="I269" s="14"/>
    </row>
    <row r="270" spans="4:9" ht="13.2">
      <c r="D270" s="6"/>
      <c r="G270" s="22"/>
      <c r="H270" s="14"/>
      <c r="I270" s="14"/>
    </row>
    <row r="271" spans="4:9" ht="13.2">
      <c r="D271" s="6"/>
      <c r="G271" s="22"/>
      <c r="H271" s="14"/>
      <c r="I271" s="14"/>
    </row>
    <row r="272" spans="4:9" ht="13.2">
      <c r="D272" s="6"/>
      <c r="G272" s="22"/>
      <c r="H272" s="14"/>
      <c r="I272" s="14"/>
    </row>
    <row r="273" spans="4:9" ht="13.2">
      <c r="D273" s="6"/>
      <c r="G273" s="22"/>
      <c r="H273" s="14"/>
      <c r="I273" s="14"/>
    </row>
    <row r="274" spans="4:9" ht="13.2">
      <c r="D274" s="6"/>
      <c r="G274" s="22"/>
      <c r="H274" s="14"/>
      <c r="I274" s="14"/>
    </row>
    <row r="275" spans="4:9" ht="13.2">
      <c r="D275" s="6"/>
      <c r="G275" s="22"/>
      <c r="H275" s="14"/>
      <c r="I275" s="14"/>
    </row>
    <row r="276" spans="4:9" ht="13.2">
      <c r="D276" s="6"/>
      <c r="G276" s="22"/>
      <c r="H276" s="14"/>
      <c r="I276" s="14"/>
    </row>
    <row r="277" spans="4:9" ht="13.2">
      <c r="D277" s="6"/>
      <c r="G277" s="22"/>
      <c r="H277" s="14"/>
      <c r="I277" s="14"/>
    </row>
    <row r="278" spans="4:9" ht="13.2">
      <c r="D278" s="6"/>
      <c r="G278" s="22"/>
      <c r="H278" s="14"/>
      <c r="I278" s="14"/>
    </row>
    <row r="279" spans="4:9" ht="13.2">
      <c r="D279" s="6"/>
      <c r="G279" s="22"/>
      <c r="H279" s="14"/>
      <c r="I279" s="14"/>
    </row>
    <row r="280" spans="4:9" ht="13.2">
      <c r="D280" s="6"/>
      <c r="G280" s="22"/>
      <c r="H280" s="14"/>
      <c r="I280" s="14"/>
    </row>
    <row r="281" spans="4:9" ht="13.2">
      <c r="D281" s="6"/>
      <c r="G281" s="22"/>
      <c r="H281" s="14"/>
      <c r="I281" s="14"/>
    </row>
    <row r="282" spans="4:9" ht="13.2">
      <c r="D282" s="6"/>
      <c r="G282" s="22"/>
      <c r="H282" s="14"/>
      <c r="I282" s="14"/>
    </row>
    <row r="283" spans="4:9" ht="13.2">
      <c r="D283" s="6"/>
      <c r="G283" s="22"/>
      <c r="H283" s="14"/>
      <c r="I283" s="14"/>
    </row>
    <row r="284" spans="4:9" ht="13.2">
      <c r="D284" s="6"/>
      <c r="G284" s="22"/>
      <c r="H284" s="14"/>
      <c r="I284" s="14"/>
    </row>
    <row r="285" spans="4:9" ht="13.2">
      <c r="D285" s="6"/>
      <c r="G285" s="22"/>
      <c r="H285" s="14"/>
      <c r="I285" s="14"/>
    </row>
    <row r="286" spans="4:9" ht="13.2">
      <c r="D286" s="6"/>
      <c r="G286" s="22"/>
      <c r="H286" s="14"/>
      <c r="I286" s="14"/>
    </row>
    <row r="287" spans="4:9" ht="13.2">
      <c r="D287" s="6"/>
      <c r="G287" s="22"/>
      <c r="H287" s="14"/>
      <c r="I287" s="14"/>
    </row>
    <row r="288" spans="4:9" ht="13.2">
      <c r="D288" s="6"/>
      <c r="G288" s="22"/>
      <c r="H288" s="14"/>
      <c r="I288" s="14"/>
    </row>
    <row r="289" spans="2:9" ht="13.2">
      <c r="D289" s="6"/>
      <c r="G289" s="22"/>
      <c r="H289" s="14"/>
      <c r="I289" s="14"/>
    </row>
    <row r="290" spans="2:9" ht="13.2">
      <c r="D290" s="6"/>
      <c r="G290" s="22"/>
      <c r="H290" s="14"/>
      <c r="I290" s="14"/>
    </row>
    <row r="291" spans="2:9" ht="13.2">
      <c r="D291" s="6"/>
      <c r="G291" s="22"/>
      <c r="H291" s="14"/>
      <c r="I291" s="14"/>
    </row>
    <row r="292" spans="2:9" ht="13.2">
      <c r="B292" s="7"/>
      <c r="C292" s="7"/>
      <c r="D292" s="8"/>
      <c r="E292" s="7"/>
      <c r="F292" s="7"/>
      <c r="G292" s="23"/>
      <c r="H292" s="21"/>
      <c r="I292" s="19"/>
    </row>
    <row r="293" spans="2:9" ht="13.2">
      <c r="D293" s="6"/>
      <c r="G293" s="22"/>
      <c r="H293" s="14"/>
      <c r="I293" s="14"/>
    </row>
    <row r="294" spans="2:9" ht="13.2">
      <c r="D294" s="6"/>
      <c r="G294" s="22"/>
      <c r="H294" s="14"/>
      <c r="I294" s="14"/>
    </row>
    <row r="295" spans="2:9" ht="13.2">
      <c r="D295" s="6"/>
      <c r="G295" s="22"/>
      <c r="H295" s="14"/>
      <c r="I295" s="14"/>
    </row>
    <row r="296" spans="2:9" ht="13.2">
      <c r="D296" s="6"/>
      <c r="G296" s="22"/>
      <c r="H296" s="14"/>
      <c r="I296" s="14"/>
    </row>
    <row r="297" spans="2:9" ht="13.2">
      <c r="D297" s="6"/>
      <c r="G297" s="22"/>
      <c r="H297" s="14"/>
      <c r="I297" s="14"/>
    </row>
    <row r="298" spans="2:9" ht="13.2">
      <c r="D298" s="6"/>
      <c r="G298" s="22"/>
      <c r="H298" s="14"/>
      <c r="I298" s="14"/>
    </row>
    <row r="299" spans="2:9" ht="13.2">
      <c r="D299" s="6"/>
      <c r="G299" s="22"/>
      <c r="H299" s="14"/>
      <c r="I299" s="14"/>
    </row>
    <row r="300" spans="2:9" ht="13.2">
      <c r="D300" s="6"/>
      <c r="G300" s="22"/>
      <c r="H300" s="14"/>
      <c r="I300" s="14"/>
    </row>
    <row r="301" spans="2:9" ht="13.2">
      <c r="D301" s="6"/>
      <c r="G301" s="22"/>
      <c r="H301" s="14"/>
      <c r="I301" s="14"/>
    </row>
    <row r="302" spans="2:9" ht="13.2">
      <c r="D302" s="6"/>
      <c r="G302" s="22"/>
      <c r="H302" s="14"/>
      <c r="I302" s="14"/>
    </row>
    <row r="303" spans="2:9" ht="13.2">
      <c r="D303" s="6"/>
      <c r="G303" s="22"/>
      <c r="H303" s="14"/>
      <c r="I303" s="14"/>
    </row>
    <row r="304" spans="2:9" ht="13.2">
      <c r="D304" s="6"/>
      <c r="G304" s="22"/>
      <c r="H304" s="14"/>
      <c r="I304" s="14"/>
    </row>
    <row r="305" spans="4:9" ht="13.2">
      <c r="D305" s="6"/>
      <c r="G305" s="22"/>
      <c r="H305" s="14"/>
      <c r="I305" s="14"/>
    </row>
    <row r="306" spans="4:9" ht="13.2">
      <c r="D306" s="6"/>
      <c r="G306" s="22"/>
      <c r="H306" s="14"/>
      <c r="I306" s="14"/>
    </row>
    <row r="307" spans="4:9" ht="13.2">
      <c r="D307" s="6"/>
      <c r="G307" s="22"/>
      <c r="H307" s="14"/>
      <c r="I307" s="14"/>
    </row>
    <row r="308" spans="4:9" ht="13.2">
      <c r="D308" s="6"/>
      <c r="G308" s="22"/>
      <c r="H308" s="14"/>
      <c r="I308" s="14"/>
    </row>
    <row r="309" spans="4:9" ht="13.2">
      <c r="D309" s="6"/>
      <c r="G309" s="22"/>
      <c r="H309" s="14"/>
      <c r="I309" s="14"/>
    </row>
    <row r="310" spans="4:9" ht="13.2">
      <c r="D310" s="6"/>
      <c r="G310" s="22"/>
      <c r="H310" s="14"/>
      <c r="I310" s="14"/>
    </row>
    <row r="311" spans="4:9" ht="13.2">
      <c r="D311" s="6"/>
      <c r="G311" s="22"/>
      <c r="H311" s="14"/>
      <c r="I311" s="14"/>
    </row>
    <row r="312" spans="4:9" ht="13.2">
      <c r="D312" s="6"/>
      <c r="G312" s="22"/>
      <c r="H312" s="14"/>
      <c r="I312" s="14"/>
    </row>
    <row r="313" spans="4:9" ht="13.2">
      <c r="D313" s="6"/>
      <c r="G313" s="22"/>
      <c r="H313" s="14"/>
      <c r="I313" s="14"/>
    </row>
    <row r="314" spans="4:9" ht="13.2">
      <c r="D314" s="6"/>
      <c r="G314" s="22"/>
      <c r="H314" s="14"/>
      <c r="I314" s="14"/>
    </row>
    <row r="315" spans="4:9" ht="13.2">
      <c r="D315" s="6"/>
      <c r="G315" s="22"/>
      <c r="H315" s="14"/>
      <c r="I315" s="14"/>
    </row>
    <row r="316" spans="4:9" ht="13.2">
      <c r="D316" s="6"/>
      <c r="G316" s="22"/>
      <c r="H316" s="14"/>
      <c r="I316" s="14"/>
    </row>
    <row r="317" spans="4:9" ht="13.2">
      <c r="D317" s="6"/>
      <c r="G317" s="22"/>
      <c r="H317" s="14"/>
      <c r="I317" s="14"/>
    </row>
    <row r="318" spans="4:9" ht="13.2">
      <c r="D318" s="6"/>
      <c r="G318" s="22"/>
      <c r="H318" s="14"/>
      <c r="I318" s="14"/>
    </row>
    <row r="319" spans="4:9" ht="13.2">
      <c r="D319" s="6"/>
      <c r="G319" s="22"/>
      <c r="H319" s="14"/>
      <c r="I319" s="14"/>
    </row>
    <row r="320" spans="4:9" ht="13.2">
      <c r="D320" s="6"/>
      <c r="G320" s="22"/>
      <c r="H320" s="14"/>
      <c r="I320" s="14"/>
    </row>
    <row r="321" spans="2:9" ht="13.2">
      <c r="D321" s="6"/>
      <c r="G321" s="22"/>
      <c r="H321" s="14"/>
      <c r="I321" s="14"/>
    </row>
    <row r="322" spans="2:9" ht="13.2">
      <c r="D322" s="6"/>
      <c r="G322" s="22"/>
      <c r="H322" s="14"/>
      <c r="I322" s="14"/>
    </row>
    <row r="323" spans="2:9" ht="13.2">
      <c r="D323" s="6"/>
      <c r="G323" s="22"/>
      <c r="H323" s="14"/>
      <c r="I323" s="14"/>
    </row>
    <row r="324" spans="2:9" ht="13.2">
      <c r="D324" s="6"/>
      <c r="G324" s="22"/>
      <c r="H324" s="14"/>
      <c r="I324" s="14"/>
    </row>
    <row r="325" spans="2:9" ht="13.2">
      <c r="D325" s="6"/>
      <c r="G325" s="22"/>
      <c r="H325" s="14"/>
      <c r="I325" s="14"/>
    </row>
    <row r="326" spans="2:9" ht="13.2">
      <c r="D326" s="6"/>
      <c r="G326" s="22"/>
      <c r="H326" s="14"/>
      <c r="I326" s="14"/>
    </row>
    <row r="327" spans="2:9" ht="13.2">
      <c r="D327" s="6"/>
      <c r="G327" s="22"/>
      <c r="H327" s="14"/>
      <c r="I327" s="14"/>
    </row>
    <row r="328" spans="2:9" ht="13.2">
      <c r="D328" s="6"/>
      <c r="G328" s="22"/>
      <c r="H328" s="14"/>
      <c r="I328" s="14"/>
    </row>
    <row r="329" spans="2:9" ht="13.2">
      <c r="D329" s="6"/>
      <c r="G329" s="22"/>
      <c r="H329" s="14"/>
      <c r="I329" s="14"/>
    </row>
    <row r="330" spans="2:9" ht="13.2">
      <c r="D330" s="6"/>
      <c r="G330" s="22"/>
      <c r="H330" s="14"/>
      <c r="I330" s="14"/>
    </row>
    <row r="331" spans="2:9" ht="13.2">
      <c r="D331" s="6"/>
      <c r="G331" s="22"/>
      <c r="H331" s="14"/>
      <c r="I331" s="14"/>
    </row>
    <row r="332" spans="2:9" ht="13.2">
      <c r="D332" s="6"/>
      <c r="G332" s="22"/>
      <c r="H332" s="14"/>
      <c r="I332" s="14"/>
    </row>
    <row r="333" spans="2:9" ht="13.2">
      <c r="B333" s="7"/>
      <c r="C333" s="7"/>
      <c r="D333" s="8"/>
      <c r="E333" s="7"/>
      <c r="F333" s="7"/>
      <c r="G333" s="23"/>
      <c r="H333" s="21"/>
      <c r="I333" s="19"/>
    </row>
    <row r="334" spans="2:9" ht="13.2">
      <c r="D334" s="6"/>
      <c r="G334" s="22"/>
      <c r="H334" s="14"/>
      <c r="I334" s="14"/>
    </row>
    <row r="335" spans="2:9" ht="13.2">
      <c r="D335" s="6"/>
      <c r="G335" s="22"/>
      <c r="H335" s="14"/>
      <c r="I335" s="14"/>
    </row>
    <row r="336" spans="2:9" ht="13.2">
      <c r="D336" s="6"/>
      <c r="G336" s="22"/>
      <c r="H336" s="14"/>
      <c r="I336" s="14"/>
    </row>
    <row r="337" spans="4:9" ht="13.2">
      <c r="D337" s="6"/>
      <c r="G337" s="22"/>
      <c r="H337" s="14"/>
      <c r="I337" s="14"/>
    </row>
    <row r="338" spans="4:9" ht="13.2">
      <c r="D338" s="6"/>
      <c r="G338" s="22"/>
      <c r="H338" s="14"/>
      <c r="I338" s="14"/>
    </row>
    <row r="339" spans="4:9" ht="13.2">
      <c r="D339" s="6"/>
      <c r="G339" s="22"/>
      <c r="H339" s="14"/>
      <c r="I339" s="14"/>
    </row>
    <row r="340" spans="4:9" ht="13.2">
      <c r="D340" s="6"/>
      <c r="G340" s="22"/>
      <c r="H340" s="14"/>
      <c r="I340" s="14"/>
    </row>
    <row r="341" spans="4:9" ht="13.2">
      <c r="D341" s="6"/>
      <c r="G341" s="22"/>
      <c r="H341" s="14"/>
      <c r="I341" s="14"/>
    </row>
    <row r="342" spans="4:9" ht="13.2">
      <c r="D342" s="6"/>
      <c r="G342" s="22"/>
      <c r="H342" s="14"/>
      <c r="I342" s="14"/>
    </row>
    <row r="343" spans="4:9" ht="13.2">
      <c r="D343" s="6"/>
      <c r="G343" s="22"/>
      <c r="H343" s="14"/>
      <c r="I343" s="14"/>
    </row>
    <row r="344" spans="4:9" ht="13.2">
      <c r="D344" s="6"/>
      <c r="G344" s="22"/>
      <c r="H344" s="14"/>
      <c r="I344" s="14"/>
    </row>
    <row r="345" spans="4:9" ht="13.2">
      <c r="D345" s="6"/>
      <c r="G345" s="22"/>
      <c r="H345" s="14"/>
      <c r="I345" s="14"/>
    </row>
    <row r="346" spans="4:9" ht="13.2">
      <c r="D346" s="6"/>
      <c r="G346" s="22"/>
      <c r="H346" s="14"/>
      <c r="I346" s="14"/>
    </row>
    <row r="347" spans="4:9" ht="13.2">
      <c r="D347" s="6"/>
      <c r="G347" s="22"/>
      <c r="H347" s="14"/>
      <c r="I347" s="14"/>
    </row>
    <row r="348" spans="4:9" ht="13.2">
      <c r="D348" s="6"/>
      <c r="G348" s="22"/>
      <c r="H348" s="14"/>
      <c r="I348" s="14"/>
    </row>
    <row r="349" spans="4:9" ht="13.2">
      <c r="D349" s="6"/>
      <c r="G349" s="22"/>
      <c r="H349" s="14"/>
      <c r="I349" s="14"/>
    </row>
    <row r="350" spans="4:9" ht="13.2">
      <c r="D350" s="6"/>
      <c r="G350" s="22"/>
      <c r="H350" s="14"/>
      <c r="I350" s="14"/>
    </row>
    <row r="351" spans="4:9" ht="13.2">
      <c r="D351" s="6"/>
      <c r="G351" s="22"/>
      <c r="H351" s="14"/>
      <c r="I351" s="14"/>
    </row>
    <row r="352" spans="4:9" ht="13.2">
      <c r="D352" s="6"/>
      <c r="G352" s="22"/>
      <c r="H352" s="14"/>
      <c r="I352" s="14"/>
    </row>
    <row r="353" spans="4:9" ht="13.2">
      <c r="D353" s="6"/>
      <c r="G353" s="22"/>
      <c r="H353" s="14"/>
      <c r="I353" s="14"/>
    </row>
    <row r="354" spans="4:9" ht="13.2">
      <c r="D354" s="6"/>
      <c r="G354" s="22"/>
      <c r="H354" s="14"/>
      <c r="I354" s="14"/>
    </row>
    <row r="355" spans="4:9" ht="13.2">
      <c r="D355" s="6"/>
      <c r="G355" s="22"/>
      <c r="H355" s="14"/>
      <c r="I355" s="14"/>
    </row>
    <row r="356" spans="4:9" ht="13.2">
      <c r="D356" s="6"/>
      <c r="G356" s="22"/>
      <c r="H356" s="14"/>
      <c r="I356" s="14"/>
    </row>
    <row r="357" spans="4:9" ht="13.2">
      <c r="D357" s="6"/>
      <c r="G357" s="22"/>
      <c r="H357" s="14"/>
      <c r="I357" s="14"/>
    </row>
    <row r="358" spans="4:9" ht="13.2">
      <c r="D358" s="6"/>
      <c r="G358" s="22"/>
      <c r="H358" s="14"/>
      <c r="I358" s="14"/>
    </row>
    <row r="359" spans="4:9" ht="13.2">
      <c r="D359" s="6"/>
      <c r="G359" s="22"/>
      <c r="H359" s="14"/>
      <c r="I359" s="14"/>
    </row>
    <row r="360" spans="4:9" ht="13.2">
      <c r="D360" s="6"/>
      <c r="G360" s="22"/>
      <c r="H360" s="14"/>
      <c r="I360" s="14"/>
    </row>
    <row r="361" spans="4:9" ht="13.2">
      <c r="D361" s="6"/>
      <c r="G361" s="22"/>
      <c r="H361" s="14"/>
      <c r="I361" s="14"/>
    </row>
    <row r="362" spans="4:9" ht="13.2">
      <c r="D362" s="6"/>
      <c r="G362" s="22"/>
      <c r="H362" s="14"/>
      <c r="I362" s="14"/>
    </row>
    <row r="363" spans="4:9" ht="13.2">
      <c r="D363" s="6"/>
      <c r="G363" s="22"/>
      <c r="H363" s="14"/>
      <c r="I363" s="14"/>
    </row>
    <row r="364" spans="4:9" ht="13.2">
      <c r="D364" s="6"/>
      <c r="G364" s="22"/>
      <c r="H364" s="14"/>
      <c r="I364" s="14"/>
    </row>
    <row r="365" spans="4:9" ht="13.2">
      <c r="D365" s="6"/>
      <c r="G365" s="22"/>
      <c r="H365" s="14"/>
      <c r="I365" s="14"/>
    </row>
    <row r="366" spans="4:9" ht="13.2">
      <c r="D366" s="6"/>
      <c r="G366" s="22"/>
      <c r="H366" s="14"/>
      <c r="I366" s="14"/>
    </row>
    <row r="367" spans="4:9" ht="13.2">
      <c r="D367" s="6"/>
      <c r="G367" s="22"/>
      <c r="H367" s="14"/>
      <c r="I367" s="14"/>
    </row>
    <row r="368" spans="4:9" ht="13.2">
      <c r="D368" s="6"/>
      <c r="G368" s="22"/>
      <c r="H368" s="14"/>
      <c r="I368" s="14"/>
    </row>
    <row r="369" spans="2:9" ht="13.2">
      <c r="D369" s="6"/>
      <c r="G369" s="22"/>
      <c r="H369" s="14"/>
      <c r="I369" s="14"/>
    </row>
    <row r="370" spans="2:9" ht="13.2">
      <c r="D370" s="6"/>
      <c r="G370" s="22"/>
      <c r="H370" s="14"/>
      <c r="I370" s="14"/>
    </row>
    <row r="371" spans="2:9" ht="13.2">
      <c r="D371" s="6"/>
      <c r="G371" s="22"/>
      <c r="H371" s="14"/>
      <c r="I371" s="14"/>
    </row>
    <row r="372" spans="2:9" ht="13.2">
      <c r="D372" s="6"/>
      <c r="G372" s="22"/>
      <c r="H372" s="14"/>
      <c r="I372" s="14"/>
    </row>
    <row r="373" spans="2:9" ht="13.2">
      <c r="D373" s="6"/>
      <c r="G373" s="22"/>
      <c r="H373" s="14"/>
      <c r="I373" s="14"/>
    </row>
    <row r="374" spans="2:9" ht="13.2">
      <c r="B374" s="7"/>
      <c r="C374" s="7"/>
      <c r="D374" s="8"/>
      <c r="E374" s="7"/>
      <c r="F374" s="7"/>
      <c r="G374" s="23"/>
      <c r="H374" s="21"/>
      <c r="I374" s="19"/>
    </row>
    <row r="375" spans="2:9" ht="13.2">
      <c r="D375" s="6"/>
      <c r="G375" s="22"/>
      <c r="H375" s="14"/>
      <c r="I375" s="14"/>
    </row>
    <row r="376" spans="2:9" ht="13.2">
      <c r="D376" s="6"/>
      <c r="G376" s="22"/>
      <c r="H376" s="14"/>
      <c r="I376" s="14"/>
    </row>
    <row r="377" spans="2:9" ht="13.2">
      <c r="D377" s="6"/>
      <c r="G377" s="22"/>
      <c r="H377" s="14"/>
      <c r="I377" s="14"/>
    </row>
    <row r="378" spans="2:9" ht="13.2">
      <c r="D378" s="6"/>
      <c r="G378" s="22"/>
      <c r="H378" s="14"/>
      <c r="I378" s="14"/>
    </row>
    <row r="379" spans="2:9" ht="13.2">
      <c r="D379" s="6"/>
      <c r="G379" s="22"/>
      <c r="H379" s="14"/>
      <c r="I379" s="14"/>
    </row>
    <row r="380" spans="2:9" ht="13.2">
      <c r="D380" s="6"/>
      <c r="G380" s="22"/>
      <c r="H380" s="14"/>
      <c r="I380" s="14"/>
    </row>
    <row r="381" spans="2:9" ht="13.2">
      <c r="D381" s="6"/>
      <c r="G381" s="22"/>
      <c r="H381" s="14"/>
      <c r="I381" s="14"/>
    </row>
    <row r="382" spans="2:9" ht="13.2">
      <c r="D382" s="6"/>
      <c r="G382" s="22"/>
      <c r="H382" s="14"/>
      <c r="I382" s="14"/>
    </row>
    <row r="383" spans="2:9" ht="13.2">
      <c r="D383" s="6"/>
      <c r="G383" s="22"/>
      <c r="H383" s="14"/>
      <c r="I383" s="14"/>
    </row>
    <row r="384" spans="2:9" ht="13.2">
      <c r="D384" s="6"/>
      <c r="G384" s="22"/>
      <c r="H384" s="14"/>
      <c r="I384" s="14"/>
    </row>
    <row r="385" spans="4:9" ht="13.2">
      <c r="D385" s="6"/>
      <c r="G385" s="22"/>
      <c r="H385" s="14"/>
      <c r="I385" s="14"/>
    </row>
    <row r="386" spans="4:9" ht="13.2">
      <c r="D386" s="6"/>
      <c r="G386" s="22"/>
      <c r="H386" s="14"/>
      <c r="I386" s="14"/>
    </row>
    <row r="387" spans="4:9" ht="13.2">
      <c r="D387" s="6"/>
      <c r="G387" s="22"/>
      <c r="H387" s="14"/>
      <c r="I387" s="14"/>
    </row>
    <row r="388" spans="4:9" ht="13.2">
      <c r="D388" s="6"/>
      <c r="G388" s="22"/>
      <c r="H388" s="14"/>
      <c r="I388" s="14"/>
    </row>
    <row r="389" spans="4:9" ht="13.2">
      <c r="D389" s="6"/>
      <c r="G389" s="22"/>
      <c r="H389" s="14"/>
      <c r="I389" s="14"/>
    </row>
    <row r="390" spans="4:9" ht="13.2">
      <c r="D390" s="6"/>
      <c r="G390" s="22"/>
      <c r="H390" s="14"/>
      <c r="I390" s="14"/>
    </row>
    <row r="391" spans="4:9" ht="13.2">
      <c r="D391" s="6"/>
      <c r="G391" s="22"/>
      <c r="H391" s="14"/>
      <c r="I391" s="14"/>
    </row>
    <row r="392" spans="4:9" ht="13.2">
      <c r="D392" s="6"/>
      <c r="G392" s="22"/>
      <c r="H392" s="14"/>
      <c r="I392" s="14"/>
    </row>
    <row r="393" spans="4:9" ht="13.2">
      <c r="D393" s="6"/>
      <c r="G393" s="22"/>
      <c r="H393" s="14"/>
      <c r="I393" s="14"/>
    </row>
    <row r="394" spans="4:9" ht="13.2">
      <c r="D394" s="6"/>
      <c r="G394" s="22"/>
      <c r="H394" s="14"/>
      <c r="I394" s="14"/>
    </row>
    <row r="395" spans="4:9" ht="13.2">
      <c r="D395" s="6"/>
      <c r="G395" s="22"/>
      <c r="H395" s="14"/>
      <c r="I395" s="14"/>
    </row>
    <row r="396" spans="4:9" ht="13.2">
      <c r="D396" s="6"/>
      <c r="G396" s="22"/>
      <c r="H396" s="14"/>
      <c r="I396" s="14"/>
    </row>
    <row r="397" spans="4:9" ht="13.2">
      <c r="D397" s="6"/>
      <c r="G397" s="22"/>
      <c r="H397" s="14"/>
      <c r="I397" s="14"/>
    </row>
    <row r="398" spans="4:9" ht="13.2">
      <c r="D398" s="6"/>
      <c r="G398" s="22"/>
      <c r="H398" s="14"/>
      <c r="I398" s="14"/>
    </row>
    <row r="399" spans="4:9" ht="13.2">
      <c r="D399" s="6"/>
      <c r="G399" s="22"/>
      <c r="H399" s="14"/>
      <c r="I399" s="14"/>
    </row>
    <row r="400" spans="4:9" ht="13.2">
      <c r="D400" s="6"/>
      <c r="G400" s="22"/>
      <c r="H400" s="14"/>
      <c r="I400" s="14"/>
    </row>
    <row r="401" spans="2:9" ht="13.2">
      <c r="D401" s="6"/>
      <c r="G401" s="22"/>
      <c r="H401" s="14"/>
      <c r="I401" s="14"/>
    </row>
    <row r="402" spans="2:9" ht="13.2">
      <c r="D402" s="6"/>
      <c r="G402" s="22"/>
      <c r="H402" s="14"/>
      <c r="I402" s="14"/>
    </row>
    <row r="403" spans="2:9" ht="13.2">
      <c r="D403" s="6"/>
      <c r="G403" s="22"/>
      <c r="H403" s="14"/>
      <c r="I403" s="14"/>
    </row>
    <row r="404" spans="2:9" ht="13.2">
      <c r="D404" s="6"/>
      <c r="G404" s="22"/>
      <c r="H404" s="14"/>
      <c r="I404" s="14"/>
    </row>
    <row r="405" spans="2:9" ht="13.2">
      <c r="D405" s="6"/>
      <c r="G405" s="22"/>
      <c r="H405" s="14"/>
      <c r="I405" s="14"/>
    </row>
    <row r="406" spans="2:9" ht="13.2">
      <c r="D406" s="6"/>
      <c r="G406" s="22"/>
      <c r="H406" s="14"/>
      <c r="I406" s="14"/>
    </row>
    <row r="407" spans="2:9" ht="13.2">
      <c r="D407" s="6"/>
      <c r="G407" s="22"/>
      <c r="H407" s="14"/>
      <c r="I407" s="14"/>
    </row>
    <row r="408" spans="2:9" ht="13.2">
      <c r="D408" s="6"/>
      <c r="G408" s="22"/>
      <c r="H408" s="14"/>
      <c r="I408" s="14"/>
    </row>
    <row r="409" spans="2:9" ht="13.2">
      <c r="D409" s="6"/>
      <c r="G409" s="22"/>
      <c r="H409" s="14"/>
      <c r="I409" s="14"/>
    </row>
    <row r="410" spans="2:9" ht="13.2">
      <c r="D410" s="6"/>
      <c r="G410" s="22"/>
      <c r="H410" s="14"/>
      <c r="I410" s="14"/>
    </row>
    <row r="411" spans="2:9" ht="13.2">
      <c r="D411" s="6"/>
      <c r="G411" s="22"/>
      <c r="H411" s="14"/>
      <c r="I411" s="14"/>
    </row>
    <row r="412" spans="2:9" ht="13.2">
      <c r="D412" s="6"/>
      <c r="G412" s="22"/>
      <c r="H412" s="14"/>
      <c r="I412" s="14"/>
    </row>
    <row r="413" spans="2:9" ht="13.2">
      <c r="D413" s="6"/>
      <c r="G413" s="22"/>
      <c r="H413" s="14"/>
      <c r="I413" s="14"/>
    </row>
    <row r="414" spans="2:9" ht="13.2">
      <c r="D414" s="6"/>
      <c r="G414" s="22"/>
      <c r="H414" s="14"/>
      <c r="I414" s="14"/>
    </row>
    <row r="415" spans="2:9" ht="13.2">
      <c r="B415" s="7"/>
      <c r="C415" s="7"/>
      <c r="D415" s="8"/>
      <c r="E415" s="7"/>
      <c r="F415" s="7"/>
      <c r="G415" s="23"/>
      <c r="H415" s="21"/>
      <c r="I415" s="19"/>
    </row>
    <row r="416" spans="2:9" ht="13.2">
      <c r="D416" s="6"/>
      <c r="G416" s="22"/>
      <c r="H416" s="14"/>
      <c r="I416" s="14"/>
    </row>
    <row r="417" spans="4:9" ht="13.2">
      <c r="D417" s="6"/>
      <c r="G417" s="22"/>
      <c r="H417" s="14"/>
      <c r="I417" s="14"/>
    </row>
    <row r="418" spans="4:9" ht="13.2">
      <c r="D418" s="6"/>
      <c r="G418" s="22"/>
      <c r="H418" s="14"/>
      <c r="I418" s="14"/>
    </row>
    <row r="419" spans="4:9" ht="13.2">
      <c r="D419" s="6"/>
      <c r="G419" s="22"/>
      <c r="H419" s="14"/>
      <c r="I419" s="14"/>
    </row>
    <row r="420" spans="4:9" ht="13.2">
      <c r="D420" s="6"/>
      <c r="G420" s="22"/>
      <c r="H420" s="14"/>
      <c r="I420" s="14"/>
    </row>
    <row r="421" spans="4:9" ht="13.2">
      <c r="D421" s="6"/>
      <c r="G421" s="22"/>
      <c r="H421" s="14"/>
      <c r="I421" s="14"/>
    </row>
    <row r="422" spans="4:9" ht="13.2">
      <c r="D422" s="6"/>
      <c r="G422" s="22"/>
      <c r="H422" s="14"/>
      <c r="I422" s="14"/>
    </row>
    <row r="423" spans="4:9" ht="13.2">
      <c r="D423" s="6"/>
      <c r="G423" s="22"/>
      <c r="H423" s="14"/>
      <c r="I423" s="14"/>
    </row>
    <row r="424" spans="4:9" ht="13.2">
      <c r="D424" s="6"/>
      <c r="G424" s="22"/>
      <c r="H424" s="14"/>
      <c r="I424" s="14"/>
    </row>
    <row r="425" spans="4:9" ht="13.2">
      <c r="D425" s="6"/>
      <c r="G425" s="22"/>
      <c r="H425" s="14"/>
      <c r="I425" s="14"/>
    </row>
    <row r="426" spans="4:9" ht="13.2">
      <c r="D426" s="6"/>
      <c r="G426" s="22"/>
      <c r="H426" s="14"/>
      <c r="I426" s="14"/>
    </row>
    <row r="427" spans="4:9" ht="13.2">
      <c r="D427" s="6"/>
      <c r="G427" s="22"/>
      <c r="H427" s="14"/>
      <c r="I427" s="14"/>
    </row>
    <row r="428" spans="4:9" ht="13.2">
      <c r="D428" s="6"/>
      <c r="G428" s="22"/>
      <c r="H428" s="14"/>
      <c r="I428" s="14"/>
    </row>
    <row r="429" spans="4:9" ht="13.2">
      <c r="D429" s="6"/>
      <c r="G429" s="22"/>
      <c r="H429" s="14"/>
      <c r="I429" s="14"/>
    </row>
    <row r="430" spans="4:9" ht="13.2">
      <c r="D430" s="6"/>
      <c r="G430" s="22"/>
      <c r="H430" s="14"/>
      <c r="I430" s="14"/>
    </row>
    <row r="431" spans="4:9" ht="13.2">
      <c r="D431" s="6"/>
      <c r="G431" s="22"/>
      <c r="H431" s="14"/>
      <c r="I431" s="14"/>
    </row>
    <row r="432" spans="4:9" ht="13.2">
      <c r="D432" s="6"/>
      <c r="G432" s="22"/>
      <c r="H432" s="14"/>
      <c r="I432" s="14"/>
    </row>
    <row r="433" spans="4:9" ht="13.2">
      <c r="D433" s="6"/>
      <c r="G433" s="22"/>
      <c r="H433" s="14"/>
      <c r="I433" s="14"/>
    </row>
    <row r="434" spans="4:9" ht="13.2">
      <c r="D434" s="6"/>
      <c r="G434" s="22"/>
      <c r="H434" s="14"/>
      <c r="I434" s="14"/>
    </row>
    <row r="435" spans="4:9" ht="13.2">
      <c r="D435" s="6"/>
      <c r="G435" s="22"/>
      <c r="H435" s="14"/>
      <c r="I435" s="14"/>
    </row>
    <row r="436" spans="4:9" ht="13.2">
      <c r="D436" s="6"/>
      <c r="G436" s="22"/>
      <c r="H436" s="14"/>
      <c r="I436" s="14"/>
    </row>
    <row r="437" spans="4:9" ht="13.2">
      <c r="D437" s="6"/>
      <c r="G437" s="22"/>
      <c r="H437" s="14"/>
      <c r="I437" s="14"/>
    </row>
    <row r="438" spans="4:9" ht="13.2">
      <c r="D438" s="6"/>
      <c r="G438" s="22"/>
      <c r="H438" s="14"/>
      <c r="I438" s="14"/>
    </row>
    <row r="439" spans="4:9" ht="13.2">
      <c r="D439" s="6"/>
      <c r="G439" s="22"/>
      <c r="H439" s="14"/>
      <c r="I439" s="14"/>
    </row>
    <row r="440" spans="4:9" ht="13.2">
      <c r="D440" s="6"/>
      <c r="G440" s="22"/>
      <c r="H440" s="14"/>
      <c r="I440" s="14"/>
    </row>
    <row r="441" spans="4:9" ht="13.2">
      <c r="D441" s="6"/>
      <c r="G441" s="22"/>
      <c r="H441" s="14"/>
      <c r="I441" s="14"/>
    </row>
    <row r="442" spans="4:9" ht="13.2">
      <c r="D442" s="6"/>
      <c r="G442" s="22"/>
      <c r="H442" s="14"/>
      <c r="I442" s="14"/>
    </row>
    <row r="443" spans="4:9" ht="13.2">
      <c r="D443" s="6"/>
      <c r="G443" s="22"/>
      <c r="H443" s="14"/>
      <c r="I443" s="14"/>
    </row>
    <row r="444" spans="4:9" ht="13.2">
      <c r="D444" s="6"/>
      <c r="G444" s="22"/>
      <c r="H444" s="14"/>
      <c r="I444" s="14"/>
    </row>
    <row r="445" spans="4:9" ht="13.2">
      <c r="D445" s="6"/>
      <c r="G445" s="22"/>
      <c r="H445" s="14"/>
      <c r="I445" s="14"/>
    </row>
    <row r="446" spans="4:9" ht="13.2">
      <c r="D446" s="6"/>
      <c r="G446" s="22"/>
      <c r="H446" s="14"/>
      <c r="I446" s="14"/>
    </row>
    <row r="447" spans="4:9" ht="13.2">
      <c r="D447" s="6"/>
      <c r="G447" s="22"/>
      <c r="H447" s="14"/>
      <c r="I447" s="14"/>
    </row>
    <row r="448" spans="4:9" ht="13.2">
      <c r="D448" s="6"/>
      <c r="G448" s="22"/>
      <c r="H448" s="14"/>
      <c r="I448" s="14"/>
    </row>
    <row r="449" spans="2:9" ht="13.2">
      <c r="D449" s="6"/>
      <c r="G449" s="22"/>
      <c r="H449" s="14"/>
      <c r="I449" s="14"/>
    </row>
    <row r="450" spans="2:9" ht="13.2">
      <c r="D450" s="6"/>
      <c r="G450" s="22"/>
      <c r="H450" s="14"/>
      <c r="I450" s="14"/>
    </row>
    <row r="451" spans="2:9" ht="13.2">
      <c r="D451" s="6"/>
      <c r="G451" s="22"/>
      <c r="H451" s="14"/>
      <c r="I451" s="14"/>
    </row>
    <row r="452" spans="2:9" ht="13.2">
      <c r="D452" s="6"/>
      <c r="G452" s="22"/>
      <c r="H452" s="14"/>
      <c r="I452" s="14"/>
    </row>
    <row r="453" spans="2:9" ht="13.2">
      <c r="D453" s="6"/>
      <c r="G453" s="22"/>
      <c r="H453" s="14"/>
      <c r="I453" s="14"/>
    </row>
    <row r="454" spans="2:9" ht="13.2">
      <c r="D454" s="6"/>
      <c r="G454" s="22"/>
      <c r="H454" s="14"/>
      <c r="I454" s="14"/>
    </row>
    <row r="455" spans="2:9" ht="13.2">
      <c r="D455" s="6"/>
      <c r="G455" s="22"/>
      <c r="H455" s="14"/>
      <c r="I455" s="14"/>
    </row>
    <row r="456" spans="2:9" ht="13.2">
      <c r="B456" s="7"/>
      <c r="C456" s="7"/>
      <c r="D456" s="8"/>
      <c r="E456" s="7"/>
      <c r="F456" s="7"/>
      <c r="G456" s="23"/>
      <c r="H456" s="21"/>
      <c r="I456" s="19"/>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Ark4">
    <tabColor rgb="FF00B0F0"/>
  </sheetPr>
  <dimension ref="B2:I169"/>
  <sheetViews>
    <sheetView topLeftCell="A2" workbookViewId="0">
      <selection activeCell="I5" sqref="B2:I169"/>
    </sheetView>
  </sheetViews>
  <sheetFormatPr defaultRowHeight="12.6"/>
  <cols>
    <col min="1" max="1" width="3.88671875" customWidth="1"/>
    <col min="2" max="5" width="11.33203125" customWidth="1"/>
    <col min="6" max="6" width="12.109375" bestFit="1" customWidth="1"/>
    <col min="7" max="9" width="11.33203125" customWidth="1"/>
  </cols>
  <sheetData>
    <row r="2" spans="2:9" ht="25.8">
      <c r="B2" s="11" t="s">
        <v>45</v>
      </c>
    </row>
    <row r="4" spans="2:9" ht="14.4">
      <c r="B4" s="2" t="s">
        <v>191</v>
      </c>
      <c r="C4" s="1"/>
      <c r="D4" s="1"/>
      <c r="E4" s="1"/>
      <c r="F4" s="1"/>
      <c r="G4" s="1"/>
      <c r="H4" s="1"/>
      <c r="I4" s="1"/>
    </row>
    <row r="5" spans="2:9" ht="13.8" thickBot="1">
      <c r="B5" s="3" t="s">
        <v>4</v>
      </c>
      <c r="C5" s="3" t="s">
        <v>5</v>
      </c>
      <c r="D5" s="3" t="s">
        <v>1</v>
      </c>
      <c r="E5" s="5" t="s">
        <v>46</v>
      </c>
      <c r="F5" s="5" t="s">
        <v>6</v>
      </c>
      <c r="G5" s="18" t="s">
        <v>43</v>
      </c>
      <c r="H5" s="4" t="s">
        <v>432</v>
      </c>
      <c r="I5" s="275" t="s">
        <v>433</v>
      </c>
    </row>
    <row r="6" spans="2:9" ht="13.2">
      <c r="C6" t="s">
        <v>8</v>
      </c>
      <c r="D6" s="6">
        <v>2010</v>
      </c>
      <c r="E6" t="s">
        <v>49</v>
      </c>
      <c r="F6" s="12" t="s">
        <v>27</v>
      </c>
      <c r="G6" s="22" t="s">
        <v>44</v>
      </c>
      <c r="H6" s="14"/>
      <c r="I6" s="14"/>
    </row>
    <row r="7" spans="2:9" ht="13.2">
      <c r="C7" t="s">
        <v>8</v>
      </c>
      <c r="D7" s="6">
        <v>2011</v>
      </c>
      <c r="E7" s="9" t="s">
        <v>49</v>
      </c>
      <c r="F7" s="9" t="s">
        <v>27</v>
      </c>
      <c r="G7" s="22" t="s">
        <v>44</v>
      </c>
      <c r="H7" s="14"/>
      <c r="I7" s="14"/>
    </row>
    <row r="8" spans="2:9" ht="13.2">
      <c r="C8" t="s">
        <v>8</v>
      </c>
      <c r="D8" s="6">
        <v>2012</v>
      </c>
      <c r="E8" s="9" t="s">
        <v>49</v>
      </c>
      <c r="F8" s="9" t="s">
        <v>27</v>
      </c>
      <c r="G8" s="22" t="s">
        <v>44</v>
      </c>
      <c r="H8" s="14"/>
      <c r="I8" s="14"/>
    </row>
    <row r="9" spans="2:9" ht="13.2">
      <c r="C9" t="s">
        <v>8</v>
      </c>
      <c r="D9" s="6">
        <v>2013</v>
      </c>
      <c r="E9" s="9" t="s">
        <v>49</v>
      </c>
      <c r="F9" s="9" t="s">
        <v>27</v>
      </c>
      <c r="G9" s="22" t="s">
        <v>44</v>
      </c>
      <c r="H9" s="14"/>
      <c r="I9" s="14"/>
    </row>
    <row r="10" spans="2:9" ht="13.2">
      <c r="C10" t="s">
        <v>8</v>
      </c>
      <c r="D10" s="6">
        <v>2014</v>
      </c>
      <c r="E10" s="9" t="s">
        <v>49</v>
      </c>
      <c r="F10" s="9" t="s">
        <v>27</v>
      </c>
      <c r="G10" s="22" t="s">
        <v>44</v>
      </c>
      <c r="H10" s="14"/>
      <c r="I10" s="14"/>
    </row>
    <row r="11" spans="2:9" ht="13.2">
      <c r="B11" s="9"/>
      <c r="C11" t="s">
        <v>8</v>
      </c>
      <c r="D11" s="6">
        <v>2015</v>
      </c>
      <c r="E11" s="9" t="s">
        <v>49</v>
      </c>
      <c r="F11" s="9" t="s">
        <v>27</v>
      </c>
      <c r="G11" s="22" t="s">
        <v>44</v>
      </c>
      <c r="H11" s="14"/>
      <c r="I11" s="14"/>
    </row>
    <row r="12" spans="2:9" ht="13.2">
      <c r="B12" s="9"/>
      <c r="C12" t="s">
        <v>8</v>
      </c>
      <c r="D12" s="6">
        <v>2016</v>
      </c>
      <c r="E12" s="9" t="s">
        <v>49</v>
      </c>
      <c r="F12" s="9" t="s">
        <v>27</v>
      </c>
      <c r="G12" s="22" t="s">
        <v>44</v>
      </c>
      <c r="H12" s="14"/>
      <c r="I12" s="14"/>
    </row>
    <row r="13" spans="2:9" ht="13.2">
      <c r="B13" s="9"/>
      <c r="C13" t="s">
        <v>8</v>
      </c>
      <c r="D13" s="6">
        <v>2017</v>
      </c>
      <c r="E13" s="9" t="s">
        <v>49</v>
      </c>
      <c r="F13" s="9" t="s">
        <v>27</v>
      </c>
      <c r="G13" s="22" t="s">
        <v>44</v>
      </c>
      <c r="H13" s="14"/>
      <c r="I13" s="14"/>
    </row>
    <row r="14" spans="2:9" ht="13.2">
      <c r="B14" s="9"/>
      <c r="C14" t="s">
        <v>8</v>
      </c>
      <c r="D14" s="6">
        <v>2018</v>
      </c>
      <c r="E14" s="9" t="s">
        <v>49</v>
      </c>
      <c r="F14" s="9" t="s">
        <v>27</v>
      </c>
      <c r="G14" s="22" t="s">
        <v>44</v>
      </c>
      <c r="H14" s="14"/>
      <c r="I14" s="14"/>
    </row>
    <row r="15" spans="2:9" ht="13.2">
      <c r="B15" s="9"/>
      <c r="C15" t="s">
        <v>8</v>
      </c>
      <c r="D15" s="6">
        <v>2019</v>
      </c>
      <c r="E15" s="9" t="s">
        <v>49</v>
      </c>
      <c r="F15" s="9" t="s">
        <v>27</v>
      </c>
      <c r="G15" s="22" t="s">
        <v>44</v>
      </c>
      <c r="H15" s="14"/>
      <c r="I15" s="14"/>
    </row>
    <row r="16" spans="2:9" ht="13.2">
      <c r="B16" s="9"/>
      <c r="C16" t="s">
        <v>8</v>
      </c>
      <c r="D16" s="6">
        <v>2020</v>
      </c>
      <c r="E16" s="9" t="s">
        <v>49</v>
      </c>
      <c r="F16" s="9" t="s">
        <v>27</v>
      </c>
      <c r="G16" s="22" t="s">
        <v>44</v>
      </c>
      <c r="H16" s="14"/>
      <c r="I16" s="14"/>
    </row>
    <row r="17" spans="2:9" ht="13.2">
      <c r="B17" s="9"/>
      <c r="C17" t="s">
        <v>8</v>
      </c>
      <c r="D17" s="6">
        <v>2021</v>
      </c>
      <c r="E17" s="9" t="s">
        <v>49</v>
      </c>
      <c r="F17" s="9" t="s">
        <v>27</v>
      </c>
      <c r="G17" s="22" t="s">
        <v>44</v>
      </c>
      <c r="H17" s="14"/>
      <c r="I17" s="14"/>
    </row>
    <row r="18" spans="2:9" ht="13.2">
      <c r="B18" s="9"/>
      <c r="C18" t="s">
        <v>8</v>
      </c>
      <c r="D18" s="6">
        <v>2022</v>
      </c>
      <c r="E18" s="9" t="s">
        <v>49</v>
      </c>
      <c r="F18" s="9" t="s">
        <v>27</v>
      </c>
      <c r="G18" s="22" t="s">
        <v>44</v>
      </c>
      <c r="H18" s="14"/>
      <c r="I18" s="14"/>
    </row>
    <row r="19" spans="2:9" ht="13.2">
      <c r="B19" s="9"/>
      <c r="C19" t="s">
        <v>8</v>
      </c>
      <c r="D19" s="6">
        <v>2023</v>
      </c>
      <c r="E19" s="9" t="s">
        <v>49</v>
      </c>
      <c r="F19" s="9" t="s">
        <v>27</v>
      </c>
      <c r="G19" s="22" t="s">
        <v>44</v>
      </c>
      <c r="H19" s="14"/>
      <c r="I19" s="14"/>
    </row>
    <row r="20" spans="2:9" ht="13.2">
      <c r="B20" s="9"/>
      <c r="C20" t="s">
        <v>8</v>
      </c>
      <c r="D20" s="6">
        <v>2024</v>
      </c>
      <c r="E20" s="9" t="s">
        <v>49</v>
      </c>
      <c r="F20" s="9" t="s">
        <v>27</v>
      </c>
      <c r="G20" s="22" t="s">
        <v>44</v>
      </c>
      <c r="H20" s="14"/>
      <c r="I20" s="14"/>
    </row>
    <row r="21" spans="2:9" ht="13.2">
      <c r="B21" s="9"/>
      <c r="C21" t="s">
        <v>8</v>
      </c>
      <c r="D21" s="6">
        <v>2025</v>
      </c>
      <c r="E21" s="9" t="s">
        <v>49</v>
      </c>
      <c r="F21" s="9" t="s">
        <v>27</v>
      </c>
      <c r="G21" s="22" t="s">
        <v>44</v>
      </c>
      <c r="H21" s="14"/>
      <c r="I21" s="14"/>
    </row>
    <row r="22" spans="2:9" ht="13.2">
      <c r="B22" s="9"/>
      <c r="C22" t="s">
        <v>8</v>
      </c>
      <c r="D22" s="6">
        <v>2026</v>
      </c>
      <c r="E22" s="9" t="s">
        <v>49</v>
      </c>
      <c r="F22" s="9" t="s">
        <v>27</v>
      </c>
      <c r="G22" s="22" t="s">
        <v>44</v>
      </c>
      <c r="H22" s="14"/>
      <c r="I22" s="14"/>
    </row>
    <row r="23" spans="2:9" ht="13.2">
      <c r="B23" s="9"/>
      <c r="C23" t="s">
        <v>8</v>
      </c>
      <c r="D23" s="6">
        <v>2027</v>
      </c>
      <c r="E23" s="9" t="s">
        <v>49</v>
      </c>
      <c r="F23" s="9" t="s">
        <v>27</v>
      </c>
      <c r="G23" s="22" t="s">
        <v>44</v>
      </c>
      <c r="H23" s="14"/>
      <c r="I23" s="14"/>
    </row>
    <row r="24" spans="2:9" ht="13.2">
      <c r="B24" s="9"/>
      <c r="C24" t="s">
        <v>8</v>
      </c>
      <c r="D24" s="6">
        <v>2028</v>
      </c>
      <c r="E24" s="9" t="s">
        <v>49</v>
      </c>
      <c r="F24" s="9" t="s">
        <v>27</v>
      </c>
      <c r="G24" s="22" t="s">
        <v>44</v>
      </c>
      <c r="H24" s="14"/>
      <c r="I24" s="14"/>
    </row>
    <row r="25" spans="2:9" ht="13.2">
      <c r="B25" s="9"/>
      <c r="C25" t="s">
        <v>8</v>
      </c>
      <c r="D25" s="6">
        <v>2029</v>
      </c>
      <c r="E25" s="9" t="s">
        <v>49</v>
      </c>
      <c r="F25" s="9" t="s">
        <v>27</v>
      </c>
      <c r="G25" s="22" t="s">
        <v>44</v>
      </c>
      <c r="H25" s="14"/>
      <c r="I25" s="14"/>
    </row>
    <row r="26" spans="2:9" ht="13.2">
      <c r="B26" s="9"/>
      <c r="C26" t="s">
        <v>8</v>
      </c>
      <c r="D26" s="6">
        <v>2030</v>
      </c>
      <c r="E26" s="9" t="s">
        <v>49</v>
      </c>
      <c r="F26" s="9" t="s">
        <v>27</v>
      </c>
      <c r="G26" s="22" t="s">
        <v>44</v>
      </c>
      <c r="H26" s="14"/>
      <c r="I26" s="14"/>
    </row>
    <row r="27" spans="2:9" ht="13.2">
      <c r="B27" s="9"/>
      <c r="C27" t="s">
        <v>8</v>
      </c>
      <c r="D27" s="6">
        <v>2031</v>
      </c>
      <c r="E27" s="9" t="s">
        <v>49</v>
      </c>
      <c r="F27" s="9" t="s">
        <v>27</v>
      </c>
      <c r="G27" s="22" t="s">
        <v>44</v>
      </c>
      <c r="H27" s="14"/>
      <c r="I27" s="14"/>
    </row>
    <row r="28" spans="2:9" ht="13.2">
      <c r="B28" s="9"/>
      <c r="C28" t="s">
        <v>8</v>
      </c>
      <c r="D28" s="6">
        <v>2032</v>
      </c>
      <c r="E28" s="9" t="s">
        <v>49</v>
      </c>
      <c r="F28" s="9" t="s">
        <v>27</v>
      </c>
      <c r="G28" s="22" t="s">
        <v>44</v>
      </c>
      <c r="H28" s="14"/>
      <c r="I28" s="14"/>
    </row>
    <row r="29" spans="2:9" ht="13.2">
      <c r="B29" s="9"/>
      <c r="C29" t="s">
        <v>8</v>
      </c>
      <c r="D29" s="6">
        <v>2033</v>
      </c>
      <c r="E29" s="9" t="s">
        <v>49</v>
      </c>
      <c r="F29" s="9" t="s">
        <v>27</v>
      </c>
      <c r="G29" s="22" t="s">
        <v>44</v>
      </c>
      <c r="H29" s="14"/>
      <c r="I29" s="14"/>
    </row>
    <row r="30" spans="2:9" ht="13.2">
      <c r="B30" s="9"/>
      <c r="C30" t="s">
        <v>8</v>
      </c>
      <c r="D30" s="6">
        <v>2034</v>
      </c>
      <c r="E30" s="9" t="s">
        <v>49</v>
      </c>
      <c r="F30" s="9" t="s">
        <v>27</v>
      </c>
      <c r="G30" s="22" t="s">
        <v>44</v>
      </c>
      <c r="H30" s="14"/>
      <c r="I30" s="14"/>
    </row>
    <row r="31" spans="2:9" ht="13.2">
      <c r="B31" s="9"/>
      <c r="C31" t="s">
        <v>8</v>
      </c>
      <c r="D31" s="6">
        <v>2035</v>
      </c>
      <c r="E31" s="9" t="s">
        <v>49</v>
      </c>
      <c r="F31" s="9" t="s">
        <v>27</v>
      </c>
      <c r="G31" s="22" t="s">
        <v>44</v>
      </c>
      <c r="H31" s="14"/>
      <c r="I31" s="14"/>
    </row>
    <row r="32" spans="2:9" ht="13.2">
      <c r="B32" s="9"/>
      <c r="C32" t="s">
        <v>8</v>
      </c>
      <c r="D32" s="6">
        <v>2036</v>
      </c>
      <c r="E32" s="9" t="s">
        <v>49</v>
      </c>
      <c r="F32" s="9" t="s">
        <v>27</v>
      </c>
      <c r="G32" s="22" t="s">
        <v>44</v>
      </c>
      <c r="H32" s="14"/>
      <c r="I32" s="14"/>
    </row>
    <row r="33" spans="2:9" ht="13.2">
      <c r="B33" s="9"/>
      <c r="C33" t="s">
        <v>8</v>
      </c>
      <c r="D33" s="6">
        <v>2037</v>
      </c>
      <c r="E33" s="9" t="s">
        <v>49</v>
      </c>
      <c r="F33" s="9" t="s">
        <v>27</v>
      </c>
      <c r="G33" s="22" t="s">
        <v>44</v>
      </c>
      <c r="H33" s="14"/>
      <c r="I33" s="14"/>
    </row>
    <row r="34" spans="2:9" ht="13.2">
      <c r="B34" s="9"/>
      <c r="C34" t="s">
        <v>8</v>
      </c>
      <c r="D34" s="6">
        <v>2038</v>
      </c>
      <c r="E34" s="9" t="s">
        <v>49</v>
      </c>
      <c r="F34" s="9" t="s">
        <v>27</v>
      </c>
      <c r="G34" s="22" t="s">
        <v>44</v>
      </c>
      <c r="H34" s="14"/>
      <c r="I34" s="14"/>
    </row>
    <row r="35" spans="2:9" ht="13.2">
      <c r="B35" s="9"/>
      <c r="C35" t="s">
        <v>8</v>
      </c>
      <c r="D35" s="6">
        <v>2039</v>
      </c>
      <c r="E35" s="9" t="s">
        <v>49</v>
      </c>
      <c r="F35" s="9" t="s">
        <v>27</v>
      </c>
      <c r="G35" s="22" t="s">
        <v>44</v>
      </c>
      <c r="H35" s="14"/>
      <c r="I35" s="14"/>
    </row>
    <row r="36" spans="2:9" ht="13.2">
      <c r="B36" s="9"/>
      <c r="C36" t="s">
        <v>8</v>
      </c>
      <c r="D36" s="6">
        <v>2040</v>
      </c>
      <c r="E36" s="9" t="s">
        <v>49</v>
      </c>
      <c r="F36" s="9" t="s">
        <v>27</v>
      </c>
      <c r="G36" s="22" t="s">
        <v>44</v>
      </c>
      <c r="H36" s="14"/>
      <c r="I36" s="14"/>
    </row>
    <row r="37" spans="2:9" ht="13.2">
      <c r="B37" s="9"/>
      <c r="C37" t="s">
        <v>8</v>
      </c>
      <c r="D37" s="6">
        <v>2041</v>
      </c>
      <c r="E37" s="9" t="s">
        <v>49</v>
      </c>
      <c r="F37" s="9" t="s">
        <v>27</v>
      </c>
      <c r="G37" s="22" t="s">
        <v>44</v>
      </c>
      <c r="H37" s="14"/>
      <c r="I37" s="14"/>
    </row>
    <row r="38" spans="2:9" ht="13.2">
      <c r="B38" s="9"/>
      <c r="C38" t="s">
        <v>8</v>
      </c>
      <c r="D38" s="6">
        <v>2042</v>
      </c>
      <c r="E38" s="9" t="s">
        <v>49</v>
      </c>
      <c r="F38" s="9" t="s">
        <v>27</v>
      </c>
      <c r="G38" s="22" t="s">
        <v>44</v>
      </c>
      <c r="H38" s="14"/>
      <c r="I38" s="14"/>
    </row>
    <row r="39" spans="2:9" ht="13.2">
      <c r="B39" s="9"/>
      <c r="C39" t="s">
        <v>8</v>
      </c>
      <c r="D39" s="6">
        <v>2043</v>
      </c>
      <c r="E39" s="9" t="s">
        <v>49</v>
      </c>
      <c r="F39" s="9" t="s">
        <v>27</v>
      </c>
      <c r="G39" s="22" t="s">
        <v>44</v>
      </c>
      <c r="H39" s="14"/>
      <c r="I39" s="14"/>
    </row>
    <row r="40" spans="2:9" ht="13.2">
      <c r="B40" s="9"/>
      <c r="C40" t="s">
        <v>8</v>
      </c>
      <c r="D40" s="6">
        <v>2044</v>
      </c>
      <c r="E40" s="9" t="s">
        <v>49</v>
      </c>
      <c r="F40" s="9" t="s">
        <v>27</v>
      </c>
      <c r="G40" s="22" t="s">
        <v>44</v>
      </c>
      <c r="H40" s="14"/>
      <c r="I40" s="14"/>
    </row>
    <row r="41" spans="2:9" ht="13.2">
      <c r="B41" s="9"/>
      <c r="C41" t="s">
        <v>8</v>
      </c>
      <c r="D41" s="6">
        <v>2045</v>
      </c>
      <c r="E41" s="9" t="s">
        <v>49</v>
      </c>
      <c r="F41" s="9" t="s">
        <v>27</v>
      </c>
      <c r="G41" s="22" t="s">
        <v>44</v>
      </c>
      <c r="H41" s="14"/>
      <c r="I41" s="14"/>
    </row>
    <row r="42" spans="2:9" ht="13.2">
      <c r="B42" s="9"/>
      <c r="C42" t="s">
        <v>8</v>
      </c>
      <c r="D42" s="6">
        <v>2046</v>
      </c>
      <c r="E42" s="9" t="s">
        <v>49</v>
      </c>
      <c r="F42" s="9" t="s">
        <v>27</v>
      </c>
      <c r="G42" s="22" t="s">
        <v>44</v>
      </c>
      <c r="H42" s="14"/>
      <c r="I42" s="14"/>
    </row>
    <row r="43" spans="2:9" ht="13.2">
      <c r="B43" s="9"/>
      <c r="C43" t="s">
        <v>8</v>
      </c>
      <c r="D43" s="6">
        <v>2047</v>
      </c>
      <c r="E43" s="9" t="s">
        <v>49</v>
      </c>
      <c r="F43" s="9" t="s">
        <v>27</v>
      </c>
      <c r="G43" s="22" t="s">
        <v>44</v>
      </c>
      <c r="H43" s="14"/>
      <c r="I43" s="14"/>
    </row>
    <row r="44" spans="2:9" ht="13.2">
      <c r="B44" s="9"/>
      <c r="C44" t="s">
        <v>8</v>
      </c>
      <c r="D44" s="6">
        <v>2048</v>
      </c>
      <c r="E44" s="9" t="s">
        <v>49</v>
      </c>
      <c r="F44" s="9" t="s">
        <v>27</v>
      </c>
      <c r="G44" s="22" t="s">
        <v>44</v>
      </c>
      <c r="H44" s="14"/>
      <c r="I44" s="14"/>
    </row>
    <row r="45" spans="2:9" ht="13.2">
      <c r="B45" s="9"/>
      <c r="C45" t="s">
        <v>8</v>
      </c>
      <c r="D45" s="6">
        <v>2049</v>
      </c>
      <c r="E45" s="9" t="s">
        <v>49</v>
      </c>
      <c r="F45" s="9" t="s">
        <v>27</v>
      </c>
      <c r="G45" s="22" t="s">
        <v>44</v>
      </c>
      <c r="H45" s="14"/>
      <c r="I45" s="14"/>
    </row>
    <row r="46" spans="2:9" ht="13.2">
      <c r="B46" s="7"/>
      <c r="C46" s="7" t="s">
        <v>8</v>
      </c>
      <c r="D46" s="8">
        <v>2050</v>
      </c>
      <c r="E46" s="7" t="s">
        <v>49</v>
      </c>
      <c r="F46" s="7" t="s">
        <v>27</v>
      </c>
      <c r="G46" s="23" t="s">
        <v>44</v>
      </c>
      <c r="H46" s="21"/>
      <c r="I46" s="19"/>
    </row>
    <row r="47" spans="2:9">
      <c r="D47" s="6"/>
      <c r="F47" s="9"/>
      <c r="G47" s="9"/>
      <c r="H47" s="14"/>
      <c r="I47" s="14"/>
    </row>
    <row r="48" spans="2:9">
      <c r="D48" s="6"/>
      <c r="F48" s="9"/>
      <c r="G48" s="9"/>
      <c r="H48" s="14"/>
      <c r="I48" s="14"/>
    </row>
    <row r="49" spans="2:9">
      <c r="D49" s="6"/>
      <c r="F49" s="9"/>
      <c r="G49" s="9"/>
      <c r="H49" s="14"/>
      <c r="I49" s="14"/>
    </row>
    <row r="50" spans="2:9">
      <c r="D50" s="6"/>
      <c r="F50" s="9"/>
      <c r="G50" s="9"/>
      <c r="H50" s="14"/>
      <c r="I50" s="14"/>
    </row>
    <row r="51" spans="2:9">
      <c r="B51" s="9"/>
      <c r="C51" s="9"/>
      <c r="D51" s="6"/>
      <c r="E51" s="9"/>
      <c r="F51" s="9"/>
      <c r="G51" s="9"/>
      <c r="H51" s="14"/>
      <c r="I51" s="14"/>
    </row>
    <row r="52" spans="2:9">
      <c r="B52" s="9"/>
      <c r="C52" s="9"/>
      <c r="D52" s="6"/>
      <c r="E52" s="9"/>
      <c r="F52" s="9"/>
      <c r="G52" s="9"/>
      <c r="H52" s="14"/>
      <c r="I52" s="14"/>
    </row>
    <row r="53" spans="2:9">
      <c r="B53" s="9"/>
      <c r="C53" s="9"/>
      <c r="D53" s="6"/>
      <c r="E53" s="9"/>
      <c r="F53" s="9"/>
      <c r="G53" s="9"/>
      <c r="H53" s="14"/>
      <c r="I53" s="14"/>
    </row>
    <row r="54" spans="2:9">
      <c r="B54" s="9"/>
      <c r="C54" s="9"/>
      <c r="D54" s="6"/>
      <c r="E54" s="9"/>
      <c r="F54" s="9"/>
      <c r="G54" s="9"/>
      <c r="H54" s="14"/>
      <c r="I54" s="14"/>
    </row>
    <row r="55" spans="2:9">
      <c r="B55" s="9"/>
      <c r="C55" s="9"/>
      <c r="D55" s="6"/>
      <c r="E55" s="9"/>
      <c r="F55" s="9"/>
      <c r="G55" s="9"/>
      <c r="H55" s="14"/>
      <c r="I55" s="14"/>
    </row>
    <row r="56" spans="2:9">
      <c r="B56" s="9"/>
      <c r="C56" s="9"/>
      <c r="D56" s="6"/>
      <c r="E56" s="9"/>
      <c r="F56" s="9"/>
      <c r="G56" s="9"/>
      <c r="H56" s="14"/>
      <c r="I56" s="14"/>
    </row>
    <row r="57" spans="2:9">
      <c r="B57" s="9"/>
      <c r="C57" s="9"/>
      <c r="D57" s="6"/>
      <c r="E57" s="9"/>
      <c r="F57" s="9"/>
      <c r="G57" s="9"/>
      <c r="H57" s="14"/>
      <c r="I57" s="14"/>
    </row>
    <row r="58" spans="2:9">
      <c r="B58" s="9"/>
      <c r="C58" s="9"/>
      <c r="D58" s="6"/>
      <c r="E58" s="9"/>
      <c r="F58" s="9"/>
      <c r="G58" s="9"/>
      <c r="H58" s="14"/>
      <c r="I58" s="14"/>
    </row>
    <row r="59" spans="2:9">
      <c r="B59" s="9"/>
      <c r="C59" s="9"/>
      <c r="D59" s="6"/>
      <c r="E59" s="9"/>
      <c r="F59" s="9"/>
      <c r="G59" s="9"/>
      <c r="H59" s="14"/>
      <c r="I59" s="14"/>
    </row>
    <row r="60" spans="2:9">
      <c r="B60" s="9"/>
      <c r="C60" s="9"/>
      <c r="D60" s="6"/>
      <c r="E60" s="9"/>
      <c r="F60" s="9"/>
      <c r="G60" s="9"/>
      <c r="H60" s="14"/>
      <c r="I60" s="14"/>
    </row>
    <row r="61" spans="2:9">
      <c r="B61" s="9"/>
      <c r="C61" s="9"/>
      <c r="D61" s="6"/>
      <c r="E61" s="9"/>
      <c r="F61" s="9"/>
      <c r="G61" s="9"/>
      <c r="H61" s="14"/>
      <c r="I61" s="14"/>
    </row>
    <row r="62" spans="2:9">
      <c r="D62" s="6"/>
      <c r="F62" s="9"/>
      <c r="G62" s="9"/>
      <c r="H62" s="14"/>
      <c r="I62" s="14"/>
    </row>
    <row r="63" spans="2:9">
      <c r="D63" s="6"/>
      <c r="F63" s="9"/>
      <c r="G63" s="9"/>
      <c r="H63" s="14"/>
      <c r="I63" s="14"/>
    </row>
    <row r="64" spans="2:9">
      <c r="D64" s="6"/>
      <c r="F64" s="9"/>
      <c r="G64" s="9"/>
      <c r="H64" s="14"/>
      <c r="I64" s="14"/>
    </row>
    <row r="65" spans="4:9">
      <c r="D65" s="6"/>
      <c r="F65" s="9"/>
      <c r="G65" s="9"/>
      <c r="H65" s="14"/>
      <c r="I65" s="14"/>
    </row>
    <row r="66" spans="4:9">
      <c r="D66" s="6"/>
      <c r="F66" s="9"/>
      <c r="G66" s="9"/>
      <c r="H66" s="14"/>
      <c r="I66" s="14"/>
    </row>
    <row r="67" spans="4:9">
      <c r="D67" s="6"/>
      <c r="F67" s="9"/>
      <c r="G67" s="9"/>
      <c r="H67" s="14"/>
      <c r="I67" s="14"/>
    </row>
    <row r="68" spans="4:9">
      <c r="D68" s="6"/>
      <c r="F68" s="9"/>
      <c r="G68" s="9"/>
      <c r="H68" s="14"/>
      <c r="I68" s="14"/>
    </row>
    <row r="69" spans="4:9">
      <c r="D69" s="6"/>
      <c r="F69" s="9"/>
      <c r="G69" s="9"/>
      <c r="H69" s="14"/>
      <c r="I69" s="14"/>
    </row>
    <row r="70" spans="4:9">
      <c r="D70" s="6"/>
      <c r="F70" s="9"/>
      <c r="G70" s="9"/>
      <c r="H70" s="14"/>
      <c r="I70" s="14"/>
    </row>
    <row r="71" spans="4:9">
      <c r="D71" s="6"/>
      <c r="F71" s="9"/>
      <c r="G71" s="9"/>
      <c r="H71" s="14"/>
      <c r="I71" s="14"/>
    </row>
    <row r="72" spans="4:9">
      <c r="D72" s="6"/>
      <c r="F72" s="9"/>
      <c r="G72" s="9"/>
      <c r="H72" s="14"/>
      <c r="I72" s="14"/>
    </row>
    <row r="73" spans="4:9">
      <c r="D73" s="6"/>
      <c r="F73" s="9"/>
      <c r="G73" s="9"/>
      <c r="H73" s="14"/>
      <c r="I73" s="14"/>
    </row>
    <row r="74" spans="4:9">
      <c r="D74" s="6"/>
      <c r="F74" s="9"/>
      <c r="G74" s="9"/>
      <c r="H74" s="14"/>
      <c r="I74" s="14"/>
    </row>
    <row r="75" spans="4:9">
      <c r="D75" s="6"/>
      <c r="F75" s="9"/>
      <c r="G75" s="9"/>
      <c r="H75" s="14"/>
      <c r="I75" s="14"/>
    </row>
    <row r="76" spans="4:9">
      <c r="D76" s="6"/>
      <c r="F76" s="9"/>
      <c r="G76" s="9"/>
      <c r="H76" s="14"/>
      <c r="I76" s="14"/>
    </row>
    <row r="77" spans="4:9">
      <c r="D77" s="6"/>
      <c r="F77" s="9"/>
      <c r="G77" s="9"/>
      <c r="H77" s="14"/>
      <c r="I77" s="14"/>
    </row>
    <row r="78" spans="4:9">
      <c r="D78" s="6"/>
      <c r="F78" s="9"/>
      <c r="G78" s="9"/>
      <c r="H78" s="14"/>
      <c r="I78" s="14"/>
    </row>
    <row r="79" spans="4:9">
      <c r="D79" s="6"/>
      <c r="F79" s="9"/>
      <c r="G79" s="9"/>
      <c r="H79" s="14"/>
      <c r="I79" s="14"/>
    </row>
    <row r="80" spans="4:9">
      <c r="D80" s="6"/>
      <c r="F80" s="9"/>
      <c r="G80" s="9"/>
      <c r="H80" s="14"/>
      <c r="I80" s="14"/>
    </row>
    <row r="81" spans="2:9">
      <c r="D81" s="6"/>
      <c r="F81" s="9"/>
      <c r="G81" s="9"/>
      <c r="H81" s="14"/>
      <c r="I81" s="14"/>
    </row>
    <row r="82" spans="2:9">
      <c r="D82" s="6"/>
      <c r="F82" s="9"/>
      <c r="G82" s="9"/>
      <c r="H82" s="14"/>
      <c r="I82" s="14"/>
    </row>
    <row r="83" spans="2:9">
      <c r="D83" s="6"/>
      <c r="F83" s="9"/>
      <c r="G83" s="9"/>
      <c r="H83" s="14"/>
      <c r="I83" s="14"/>
    </row>
    <row r="84" spans="2:9">
      <c r="D84" s="6"/>
      <c r="F84" s="9"/>
      <c r="G84" s="9"/>
      <c r="H84" s="14"/>
      <c r="I84" s="14"/>
    </row>
    <row r="85" spans="2:9">
      <c r="D85" s="6"/>
      <c r="F85" s="9"/>
      <c r="G85" s="9"/>
      <c r="H85" s="14"/>
      <c r="I85" s="14"/>
    </row>
    <row r="86" spans="2:9">
      <c r="D86" s="6"/>
      <c r="F86" s="9"/>
      <c r="G86" s="9"/>
      <c r="H86" s="14"/>
      <c r="I86" s="14"/>
    </row>
    <row r="87" spans="2:9">
      <c r="B87" s="7"/>
      <c r="C87" s="7"/>
      <c r="D87" s="6"/>
      <c r="E87" s="7"/>
      <c r="F87" s="7"/>
      <c r="G87" s="9"/>
      <c r="H87" s="14"/>
      <c r="I87" s="14"/>
    </row>
    <row r="88" spans="2:9">
      <c r="D88" s="6"/>
      <c r="H88" s="14"/>
      <c r="I88" s="14"/>
    </row>
    <row r="89" spans="2:9">
      <c r="D89" s="6"/>
      <c r="H89" s="14"/>
      <c r="I89" s="14"/>
    </row>
    <row r="90" spans="2:9">
      <c r="D90" s="6"/>
      <c r="F90" s="9"/>
      <c r="G90" s="9"/>
      <c r="H90" s="14"/>
      <c r="I90" s="14"/>
    </row>
    <row r="91" spans="2:9">
      <c r="D91" s="6"/>
      <c r="F91" s="9"/>
      <c r="G91" s="9"/>
      <c r="H91" s="14"/>
      <c r="I91" s="14"/>
    </row>
    <row r="92" spans="2:9">
      <c r="D92" s="6"/>
      <c r="F92" s="9"/>
      <c r="G92" s="9"/>
      <c r="H92" s="14"/>
      <c r="I92" s="14"/>
    </row>
    <row r="93" spans="2:9">
      <c r="D93" s="6"/>
      <c r="F93" s="9"/>
      <c r="G93" s="9"/>
      <c r="H93" s="14"/>
      <c r="I93" s="14"/>
    </row>
    <row r="94" spans="2:9">
      <c r="D94" s="6"/>
      <c r="F94" s="9"/>
      <c r="G94" s="9"/>
      <c r="H94" s="14"/>
      <c r="I94" s="14"/>
    </row>
    <row r="95" spans="2:9">
      <c r="D95" s="6"/>
      <c r="F95" s="9"/>
      <c r="G95" s="9"/>
      <c r="H95" s="14"/>
      <c r="I95" s="14"/>
    </row>
    <row r="96" spans="2:9">
      <c r="D96" s="6"/>
      <c r="F96" s="9"/>
      <c r="G96" s="9"/>
      <c r="H96" s="14"/>
      <c r="I96" s="14"/>
    </row>
    <row r="97" spans="4:9">
      <c r="D97" s="6"/>
      <c r="F97" s="9"/>
      <c r="G97" s="9"/>
      <c r="H97" s="14"/>
      <c r="I97" s="14"/>
    </row>
    <row r="98" spans="4:9">
      <c r="D98" s="6"/>
      <c r="F98" s="9"/>
      <c r="G98" s="9"/>
      <c r="H98" s="14"/>
      <c r="I98" s="14"/>
    </row>
    <row r="99" spans="4:9">
      <c r="D99" s="6"/>
      <c r="F99" s="9"/>
      <c r="G99" s="9"/>
      <c r="H99" s="14"/>
      <c r="I99" s="14"/>
    </row>
    <row r="100" spans="4:9">
      <c r="D100" s="6"/>
      <c r="F100" s="9"/>
      <c r="G100" s="9"/>
      <c r="H100" s="14"/>
      <c r="I100" s="14"/>
    </row>
    <row r="101" spans="4:9">
      <c r="D101" s="6"/>
      <c r="F101" s="9"/>
      <c r="G101" s="9"/>
      <c r="H101" s="14"/>
      <c r="I101" s="14"/>
    </row>
    <row r="102" spans="4:9">
      <c r="D102" s="6"/>
      <c r="F102" s="9"/>
      <c r="G102" s="9"/>
      <c r="H102" s="14"/>
      <c r="I102" s="14"/>
    </row>
    <row r="103" spans="4:9">
      <c r="D103" s="6"/>
      <c r="F103" s="9"/>
      <c r="G103" s="9"/>
      <c r="H103" s="14"/>
      <c r="I103" s="14"/>
    </row>
    <row r="104" spans="4:9">
      <c r="D104" s="6"/>
      <c r="F104" s="9"/>
      <c r="G104" s="9"/>
      <c r="H104" s="14"/>
      <c r="I104" s="14"/>
    </row>
    <row r="105" spans="4:9">
      <c r="D105" s="6"/>
      <c r="F105" s="9"/>
      <c r="G105" s="9"/>
      <c r="H105" s="14"/>
      <c r="I105" s="14"/>
    </row>
    <row r="106" spans="4:9">
      <c r="D106" s="6"/>
      <c r="F106" s="9"/>
      <c r="G106" s="9"/>
      <c r="H106" s="14"/>
      <c r="I106" s="14"/>
    </row>
    <row r="107" spans="4:9">
      <c r="D107" s="6"/>
      <c r="F107" s="9"/>
      <c r="G107" s="9"/>
      <c r="H107" s="14"/>
      <c r="I107" s="14"/>
    </row>
    <row r="108" spans="4:9">
      <c r="D108" s="6"/>
      <c r="F108" s="9"/>
      <c r="G108" s="9"/>
      <c r="H108" s="14"/>
      <c r="I108" s="14"/>
    </row>
    <row r="109" spans="4:9">
      <c r="D109" s="6"/>
      <c r="F109" s="9"/>
      <c r="G109" s="9"/>
      <c r="H109" s="14"/>
      <c r="I109" s="14"/>
    </row>
    <row r="110" spans="4:9">
      <c r="D110" s="6"/>
      <c r="F110" s="9"/>
      <c r="G110" s="9"/>
      <c r="H110" s="14"/>
      <c r="I110" s="14"/>
    </row>
    <row r="111" spans="4:9">
      <c r="D111" s="6"/>
      <c r="F111" s="9"/>
      <c r="G111" s="9"/>
      <c r="H111" s="14"/>
      <c r="I111" s="14"/>
    </row>
    <row r="112" spans="4:9">
      <c r="D112" s="6"/>
      <c r="F112" s="9"/>
      <c r="G112" s="9"/>
      <c r="H112" s="14"/>
      <c r="I112" s="14"/>
    </row>
    <row r="113" spans="2:9">
      <c r="D113" s="6"/>
      <c r="F113" s="9"/>
      <c r="G113" s="9"/>
      <c r="H113" s="14"/>
      <c r="I113" s="14"/>
    </row>
    <row r="114" spans="2:9">
      <c r="D114" s="6"/>
      <c r="F114" s="9"/>
      <c r="G114" s="9"/>
      <c r="H114" s="14"/>
      <c r="I114" s="14"/>
    </row>
    <row r="115" spans="2:9">
      <c r="D115" s="6"/>
      <c r="F115" s="9"/>
      <c r="G115" s="9"/>
      <c r="H115" s="14"/>
      <c r="I115" s="14"/>
    </row>
    <row r="116" spans="2:9">
      <c r="D116" s="6"/>
      <c r="F116" s="9"/>
      <c r="G116" s="9"/>
      <c r="H116" s="14"/>
      <c r="I116" s="14"/>
    </row>
    <row r="117" spans="2:9">
      <c r="D117" s="6"/>
      <c r="F117" s="9"/>
      <c r="G117" s="9"/>
      <c r="H117" s="14"/>
      <c r="I117" s="14"/>
    </row>
    <row r="118" spans="2:9">
      <c r="D118" s="6"/>
      <c r="F118" s="9"/>
      <c r="G118" s="9"/>
      <c r="H118" s="14"/>
      <c r="I118" s="14"/>
    </row>
    <row r="119" spans="2:9">
      <c r="D119" s="6"/>
      <c r="F119" s="9"/>
      <c r="G119" s="9"/>
      <c r="H119" s="14"/>
      <c r="I119" s="14"/>
    </row>
    <row r="120" spans="2:9">
      <c r="D120" s="6"/>
      <c r="F120" s="9"/>
      <c r="G120" s="9"/>
      <c r="H120" s="14"/>
      <c r="I120" s="14"/>
    </row>
    <row r="121" spans="2:9">
      <c r="D121" s="6"/>
      <c r="F121" s="9"/>
      <c r="G121" s="9"/>
      <c r="H121" s="14"/>
      <c r="I121" s="14"/>
    </row>
    <row r="122" spans="2:9">
      <c r="D122" s="6"/>
      <c r="F122" s="9"/>
      <c r="G122" s="9"/>
      <c r="H122" s="14"/>
      <c r="I122" s="14"/>
    </row>
    <row r="123" spans="2:9">
      <c r="D123" s="6"/>
      <c r="F123" s="9"/>
      <c r="G123" s="9"/>
      <c r="H123" s="14"/>
      <c r="I123" s="14"/>
    </row>
    <row r="124" spans="2:9">
      <c r="D124" s="6"/>
      <c r="F124" s="9"/>
      <c r="G124" s="9"/>
      <c r="H124" s="14"/>
      <c r="I124" s="14"/>
    </row>
    <row r="125" spans="2:9">
      <c r="D125" s="6"/>
      <c r="F125" s="9"/>
      <c r="G125" s="9"/>
      <c r="H125" s="14"/>
      <c r="I125" s="14"/>
    </row>
    <row r="126" spans="2:9">
      <c r="D126" s="6"/>
      <c r="F126" s="9"/>
      <c r="G126" s="9"/>
      <c r="H126" s="14"/>
      <c r="I126" s="14"/>
    </row>
    <row r="127" spans="2:9">
      <c r="D127" s="6"/>
      <c r="F127" s="9"/>
      <c r="G127" s="9"/>
      <c r="H127" s="14"/>
      <c r="I127" s="14"/>
    </row>
    <row r="128" spans="2:9">
      <c r="B128" s="7"/>
      <c r="C128" s="7"/>
      <c r="D128" s="8"/>
      <c r="E128" s="7"/>
      <c r="F128" s="7"/>
      <c r="G128" s="7"/>
      <c r="H128" s="21"/>
      <c r="I128" s="19"/>
    </row>
    <row r="129" spans="2:9">
      <c r="B129" s="9"/>
      <c r="C129" s="9"/>
      <c r="D129" s="20"/>
      <c r="E129" s="10"/>
      <c r="F129" s="9"/>
      <c r="G129" s="9"/>
      <c r="H129" s="19"/>
      <c r="I129" s="19"/>
    </row>
    <row r="130" spans="2:9">
      <c r="B130" s="9"/>
      <c r="C130" s="9"/>
      <c r="D130" s="20"/>
      <c r="E130" s="10"/>
      <c r="F130" s="9"/>
      <c r="G130" s="9"/>
      <c r="H130" s="19"/>
      <c r="I130" s="19"/>
    </row>
    <row r="131" spans="2:9">
      <c r="B131" s="9"/>
      <c r="C131" s="9"/>
      <c r="D131" s="20"/>
      <c r="E131" s="10"/>
      <c r="F131" s="9"/>
      <c r="G131" s="9"/>
      <c r="H131" s="19"/>
      <c r="I131" s="19"/>
    </row>
    <row r="132" spans="2:9">
      <c r="B132" s="9"/>
      <c r="C132" s="9"/>
      <c r="D132" s="20"/>
      <c r="E132" s="10"/>
      <c r="F132" s="9"/>
      <c r="G132" s="9"/>
      <c r="H132" s="19"/>
      <c r="I132" s="19"/>
    </row>
    <row r="133" spans="2:9">
      <c r="B133" s="9"/>
      <c r="C133" s="9"/>
      <c r="D133" s="20"/>
      <c r="E133" s="10"/>
      <c r="F133" s="9"/>
      <c r="G133" s="9"/>
      <c r="H133" s="19"/>
      <c r="I133" s="19"/>
    </row>
    <row r="134" spans="2:9">
      <c r="B134" s="9"/>
      <c r="C134" s="9"/>
      <c r="D134" s="20"/>
      <c r="E134" s="10"/>
      <c r="F134" s="9"/>
      <c r="G134" s="9"/>
      <c r="H134" s="19"/>
      <c r="I134" s="19"/>
    </row>
    <row r="135" spans="2:9">
      <c r="B135" s="9"/>
      <c r="C135" s="9"/>
      <c r="D135" s="20"/>
      <c r="E135" s="10"/>
      <c r="F135" s="9"/>
      <c r="G135" s="9"/>
      <c r="H135" s="19"/>
      <c r="I135" s="19"/>
    </row>
    <row r="136" spans="2:9">
      <c r="B136" s="9"/>
      <c r="C136" s="9"/>
      <c r="D136" s="20"/>
      <c r="E136" s="10"/>
      <c r="F136" s="9"/>
      <c r="G136" s="9"/>
      <c r="H136" s="19"/>
      <c r="I136" s="19"/>
    </row>
    <row r="137" spans="2:9">
      <c r="B137" s="9"/>
      <c r="C137" s="9"/>
      <c r="D137" s="20"/>
      <c r="E137" s="10"/>
      <c r="F137" s="9"/>
      <c r="G137" s="9"/>
      <c r="H137" s="19"/>
      <c r="I137" s="19"/>
    </row>
    <row r="138" spans="2:9">
      <c r="B138" s="9"/>
      <c r="C138" s="9"/>
      <c r="D138" s="20"/>
      <c r="E138" s="10"/>
      <c r="F138" s="9"/>
      <c r="G138" s="9"/>
      <c r="H138" s="19"/>
      <c r="I138" s="19"/>
    </row>
    <row r="139" spans="2:9">
      <c r="B139" s="9"/>
      <c r="C139" s="9"/>
      <c r="D139" s="20"/>
      <c r="E139" s="10"/>
      <c r="F139" s="9"/>
      <c r="G139" s="9"/>
      <c r="H139" s="19"/>
      <c r="I139" s="19"/>
    </row>
    <row r="140" spans="2:9">
      <c r="B140" s="9"/>
      <c r="C140" s="9"/>
      <c r="D140" s="20"/>
      <c r="E140" s="10"/>
      <c r="F140" s="9"/>
      <c r="G140" s="9"/>
      <c r="H140" s="19"/>
      <c r="I140" s="19"/>
    </row>
    <row r="141" spans="2:9">
      <c r="B141" s="9"/>
      <c r="C141" s="9"/>
      <c r="D141" s="20"/>
      <c r="E141" s="10"/>
      <c r="F141" s="9"/>
      <c r="G141" s="9"/>
      <c r="H141" s="19"/>
      <c r="I141" s="19"/>
    </row>
    <row r="142" spans="2:9">
      <c r="B142" s="9"/>
      <c r="C142" s="9"/>
      <c r="D142" s="20"/>
      <c r="E142" s="10"/>
      <c r="F142" s="9"/>
      <c r="G142" s="9"/>
      <c r="H142" s="19"/>
      <c r="I142" s="19"/>
    </row>
    <row r="143" spans="2:9">
      <c r="B143" s="9"/>
      <c r="C143" s="9"/>
      <c r="D143" s="20"/>
      <c r="E143" s="10"/>
      <c r="F143" s="9"/>
      <c r="G143" s="9"/>
      <c r="H143" s="19"/>
      <c r="I143" s="19"/>
    </row>
    <row r="144" spans="2:9">
      <c r="B144" s="9"/>
      <c r="C144" s="9"/>
      <c r="D144" s="20"/>
      <c r="E144" s="10"/>
      <c r="F144" s="9"/>
      <c r="G144" s="9"/>
      <c r="H144" s="19"/>
      <c r="I144" s="19"/>
    </row>
    <row r="145" spans="2:9">
      <c r="B145" s="9"/>
      <c r="C145" s="9"/>
      <c r="D145" s="20"/>
      <c r="E145" s="10"/>
      <c r="F145" s="9"/>
      <c r="G145" s="9"/>
      <c r="H145" s="19"/>
      <c r="I145" s="19"/>
    </row>
    <row r="146" spans="2:9">
      <c r="B146" s="9"/>
      <c r="C146" s="9"/>
      <c r="D146" s="20"/>
      <c r="E146" s="10"/>
      <c r="F146" s="9"/>
      <c r="G146" s="9"/>
      <c r="H146" s="19"/>
      <c r="I146" s="19"/>
    </row>
    <row r="147" spans="2:9">
      <c r="B147" s="9"/>
      <c r="C147" s="9"/>
      <c r="D147" s="20"/>
      <c r="E147" s="10"/>
      <c r="F147" s="9"/>
      <c r="G147" s="9"/>
      <c r="H147" s="19"/>
      <c r="I147" s="19"/>
    </row>
    <row r="148" spans="2:9">
      <c r="B148" s="9"/>
      <c r="C148" s="9"/>
      <c r="D148" s="20"/>
      <c r="E148" s="10"/>
      <c r="F148" s="9"/>
      <c r="G148" s="9"/>
      <c r="H148" s="19"/>
      <c r="I148" s="19"/>
    </row>
    <row r="149" spans="2:9">
      <c r="B149" s="9"/>
      <c r="C149" s="9"/>
      <c r="D149" s="20"/>
      <c r="E149" s="10"/>
      <c r="F149" s="9"/>
      <c r="G149" s="9"/>
      <c r="H149" s="19"/>
      <c r="I149" s="19"/>
    </row>
    <row r="150" spans="2:9">
      <c r="B150" s="9"/>
      <c r="C150" s="9"/>
      <c r="D150" s="20"/>
      <c r="E150" s="10"/>
      <c r="F150" s="9"/>
      <c r="G150" s="9"/>
      <c r="H150" s="19"/>
      <c r="I150" s="19"/>
    </row>
    <row r="151" spans="2:9">
      <c r="B151" s="9"/>
      <c r="C151" s="9"/>
      <c r="D151" s="20"/>
      <c r="E151" s="10"/>
      <c r="F151" s="9"/>
      <c r="G151" s="9"/>
      <c r="H151" s="19"/>
      <c r="I151" s="19"/>
    </row>
    <row r="152" spans="2:9">
      <c r="B152" s="9"/>
      <c r="C152" s="9"/>
      <c r="D152" s="20"/>
      <c r="E152" s="10"/>
      <c r="F152" s="9"/>
      <c r="G152" s="9"/>
      <c r="H152" s="19"/>
      <c r="I152" s="19"/>
    </row>
    <row r="153" spans="2:9">
      <c r="B153" s="9"/>
      <c r="C153" s="9"/>
      <c r="D153" s="20"/>
      <c r="E153" s="10"/>
      <c r="F153" s="9"/>
      <c r="G153" s="9"/>
      <c r="H153" s="19"/>
      <c r="I153" s="19"/>
    </row>
    <row r="154" spans="2:9">
      <c r="B154" s="9"/>
      <c r="C154" s="9"/>
      <c r="D154" s="20"/>
      <c r="E154" s="10"/>
      <c r="F154" s="9"/>
      <c r="G154" s="9"/>
      <c r="H154" s="19"/>
      <c r="I154" s="19"/>
    </row>
    <row r="155" spans="2:9">
      <c r="B155" s="9"/>
      <c r="C155" s="9"/>
      <c r="D155" s="20"/>
      <c r="E155" s="10"/>
      <c r="F155" s="9"/>
      <c r="G155" s="9"/>
      <c r="H155" s="19"/>
      <c r="I155" s="19"/>
    </row>
    <row r="156" spans="2:9">
      <c r="B156" s="9"/>
      <c r="C156" s="9"/>
      <c r="D156" s="20"/>
      <c r="E156" s="10"/>
      <c r="F156" s="9"/>
      <c r="G156" s="9"/>
      <c r="H156" s="19"/>
      <c r="I156" s="19"/>
    </row>
    <row r="157" spans="2:9">
      <c r="B157" s="9"/>
      <c r="C157" s="9"/>
      <c r="D157" s="20"/>
      <c r="E157" s="10"/>
      <c r="F157" s="9"/>
      <c r="G157" s="9"/>
      <c r="H157" s="19"/>
      <c r="I157" s="19"/>
    </row>
    <row r="158" spans="2:9">
      <c r="B158" s="9"/>
      <c r="C158" s="9"/>
      <c r="D158" s="20"/>
      <c r="E158" s="10"/>
      <c r="F158" s="9"/>
      <c r="G158" s="9"/>
      <c r="H158" s="19"/>
      <c r="I158" s="19"/>
    </row>
    <row r="159" spans="2:9">
      <c r="B159" s="9"/>
      <c r="C159" s="9"/>
      <c r="D159" s="20"/>
      <c r="E159" s="10"/>
      <c r="F159" s="9"/>
      <c r="G159" s="9"/>
      <c r="H159" s="19"/>
      <c r="I159" s="19"/>
    </row>
    <row r="160" spans="2:9">
      <c r="B160" s="9"/>
      <c r="C160" s="9"/>
      <c r="D160" s="20"/>
      <c r="E160" s="10"/>
      <c r="F160" s="9"/>
      <c r="G160" s="9"/>
      <c r="H160" s="19"/>
      <c r="I160" s="19"/>
    </row>
    <row r="161" spans="2:9">
      <c r="B161" s="9"/>
      <c r="C161" s="9"/>
      <c r="D161" s="20"/>
      <c r="E161" s="10"/>
      <c r="F161" s="9"/>
      <c r="G161" s="9"/>
      <c r="H161" s="19"/>
      <c r="I161" s="19"/>
    </row>
    <row r="162" spans="2:9">
      <c r="B162" s="9"/>
      <c r="C162" s="9"/>
      <c r="D162" s="20"/>
      <c r="E162" s="10"/>
      <c r="F162" s="9"/>
      <c r="G162" s="9"/>
      <c r="H162" s="19"/>
      <c r="I162" s="19"/>
    </row>
    <row r="163" spans="2:9">
      <c r="B163" s="9"/>
      <c r="C163" s="9"/>
      <c r="D163" s="20"/>
      <c r="E163" s="10"/>
      <c r="F163" s="9"/>
      <c r="G163" s="9"/>
      <c r="H163" s="19"/>
      <c r="I163" s="19"/>
    </row>
    <row r="164" spans="2:9">
      <c r="B164" s="9"/>
      <c r="C164" s="9"/>
      <c r="D164" s="20"/>
      <c r="E164" s="10"/>
      <c r="F164" s="9"/>
      <c r="G164" s="9"/>
      <c r="H164" s="19"/>
      <c r="I164" s="19"/>
    </row>
    <row r="165" spans="2:9">
      <c r="B165" s="9"/>
      <c r="C165" s="9"/>
      <c r="D165" s="20"/>
      <c r="E165" s="10"/>
      <c r="F165" s="9"/>
      <c r="G165" s="9"/>
      <c r="H165" s="19"/>
      <c r="I165" s="19"/>
    </row>
    <row r="166" spans="2:9">
      <c r="B166" s="9"/>
      <c r="C166" s="9"/>
      <c r="D166" s="20"/>
      <c r="E166" s="10"/>
      <c r="F166" s="9"/>
      <c r="G166" s="9"/>
      <c r="H166" s="19"/>
      <c r="I166" s="19"/>
    </row>
    <row r="167" spans="2:9">
      <c r="B167" s="9"/>
      <c r="C167" s="9"/>
      <c r="D167" s="20"/>
      <c r="E167" s="10"/>
      <c r="F167" s="9"/>
      <c r="G167" s="9"/>
      <c r="H167" s="19"/>
      <c r="I167" s="19"/>
    </row>
    <row r="168" spans="2:9">
      <c r="B168" s="9"/>
      <c r="C168" s="9"/>
      <c r="D168" s="20"/>
      <c r="E168" s="10"/>
      <c r="F168" s="9"/>
      <c r="G168" s="9"/>
      <c r="H168" s="19"/>
      <c r="I168" s="19"/>
    </row>
    <row r="169" spans="2:9">
      <c r="B169" s="9"/>
      <c r="C169" s="9"/>
      <c r="D169" s="20"/>
      <c r="E169" s="10"/>
      <c r="F169" s="9"/>
      <c r="G169" s="9"/>
      <c r="H169" s="19"/>
      <c r="I169"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Ark3">
    <tabColor rgb="FF00B0F0"/>
  </sheetPr>
  <dimension ref="B2:I169"/>
  <sheetViews>
    <sheetView workbookViewId="0">
      <selection activeCell="K13" sqref="K13"/>
    </sheetView>
  </sheetViews>
  <sheetFormatPr defaultRowHeight="12.6"/>
  <cols>
    <col min="1" max="1" width="3.88671875" customWidth="1"/>
    <col min="2" max="5" width="11.33203125" customWidth="1"/>
    <col min="6" max="6" width="12.109375" bestFit="1" customWidth="1"/>
    <col min="7" max="9" width="11.33203125" customWidth="1"/>
  </cols>
  <sheetData>
    <row r="2" spans="2:9" ht="25.8">
      <c r="B2" s="11" t="s">
        <v>45</v>
      </c>
    </row>
    <row r="4" spans="2:9" ht="14.4">
      <c r="B4" s="2" t="s">
        <v>191</v>
      </c>
      <c r="C4" s="1"/>
      <c r="D4" s="1"/>
      <c r="E4" s="1"/>
      <c r="F4" s="1"/>
      <c r="G4" s="1"/>
      <c r="H4" s="1"/>
      <c r="I4" s="1"/>
    </row>
    <row r="5" spans="2:9" ht="13.8" thickBot="1">
      <c r="B5" s="3" t="s">
        <v>4</v>
      </c>
      <c r="C5" s="3" t="s">
        <v>5</v>
      </c>
      <c r="D5" s="3" t="s">
        <v>1</v>
      </c>
      <c r="E5" s="5" t="s">
        <v>46</v>
      </c>
      <c r="F5" s="5" t="s">
        <v>6</v>
      </c>
      <c r="G5" s="18" t="s">
        <v>43</v>
      </c>
      <c r="H5" s="4" t="s">
        <v>432</v>
      </c>
      <c r="I5" s="275" t="s">
        <v>433</v>
      </c>
    </row>
    <row r="6" spans="2:9" ht="13.2">
      <c r="C6" t="s">
        <v>8</v>
      </c>
      <c r="D6" s="6">
        <v>2010</v>
      </c>
      <c r="E6" t="s">
        <v>47</v>
      </c>
      <c r="F6" s="12" t="s">
        <v>27</v>
      </c>
      <c r="G6" s="22" t="s">
        <v>44</v>
      </c>
      <c r="H6" s="14"/>
      <c r="I6" s="14"/>
    </row>
    <row r="7" spans="2:9" ht="13.2">
      <c r="C7" t="s">
        <v>8</v>
      </c>
      <c r="D7" s="6">
        <v>2011</v>
      </c>
      <c r="E7" t="s">
        <v>47</v>
      </c>
      <c r="F7" s="9" t="s">
        <v>27</v>
      </c>
      <c r="G7" s="22" t="s">
        <v>44</v>
      </c>
      <c r="H7" s="14"/>
      <c r="I7" s="14"/>
    </row>
    <row r="8" spans="2:9" ht="13.2">
      <c r="C8" t="s">
        <v>8</v>
      </c>
      <c r="D8" s="6">
        <v>2012</v>
      </c>
      <c r="E8" t="s">
        <v>47</v>
      </c>
      <c r="F8" s="9" t="s">
        <v>27</v>
      </c>
      <c r="G8" s="22" t="s">
        <v>44</v>
      </c>
      <c r="H8" s="14"/>
      <c r="I8" s="14"/>
    </row>
    <row r="9" spans="2:9" ht="13.2">
      <c r="C9" t="s">
        <v>8</v>
      </c>
      <c r="D9" s="6">
        <v>2013</v>
      </c>
      <c r="E9" t="s">
        <v>47</v>
      </c>
      <c r="F9" s="9" t="s">
        <v>27</v>
      </c>
      <c r="G9" s="22" t="s">
        <v>44</v>
      </c>
      <c r="H9" s="14"/>
      <c r="I9" s="14"/>
    </row>
    <row r="10" spans="2:9" ht="13.2">
      <c r="C10" t="s">
        <v>8</v>
      </c>
      <c r="D10" s="6">
        <v>2014</v>
      </c>
      <c r="E10" t="s">
        <v>47</v>
      </c>
      <c r="F10" s="9" t="s">
        <v>27</v>
      </c>
      <c r="G10" s="22" t="s">
        <v>44</v>
      </c>
      <c r="H10" s="14"/>
      <c r="I10" s="14"/>
    </row>
    <row r="11" spans="2:9" ht="13.2">
      <c r="B11" s="9"/>
      <c r="C11" t="s">
        <v>8</v>
      </c>
      <c r="D11" s="6">
        <v>2015</v>
      </c>
      <c r="E11" t="s">
        <v>47</v>
      </c>
      <c r="F11" s="9" t="s">
        <v>27</v>
      </c>
      <c r="G11" s="22" t="s">
        <v>44</v>
      </c>
      <c r="H11" s="14"/>
      <c r="I11" s="14"/>
    </row>
    <row r="12" spans="2:9" ht="13.2">
      <c r="B12" s="9"/>
      <c r="C12" t="s">
        <v>8</v>
      </c>
      <c r="D12" s="6">
        <v>2016</v>
      </c>
      <c r="E12" t="s">
        <v>47</v>
      </c>
      <c r="F12" s="9" t="s">
        <v>27</v>
      </c>
      <c r="G12" s="22" t="s">
        <v>44</v>
      </c>
      <c r="H12" s="14"/>
      <c r="I12" s="14"/>
    </row>
    <row r="13" spans="2:9" ht="13.2">
      <c r="B13" s="9"/>
      <c r="C13" t="s">
        <v>8</v>
      </c>
      <c r="D13" s="6">
        <v>2017</v>
      </c>
      <c r="E13" t="s">
        <v>47</v>
      </c>
      <c r="F13" s="9" t="s">
        <v>27</v>
      </c>
      <c r="G13" s="22" t="s">
        <v>44</v>
      </c>
      <c r="H13" s="14"/>
      <c r="I13" s="14"/>
    </row>
    <row r="14" spans="2:9" ht="13.2">
      <c r="B14" s="9"/>
      <c r="C14" t="s">
        <v>8</v>
      </c>
      <c r="D14" s="6">
        <v>2018</v>
      </c>
      <c r="E14" t="s">
        <v>47</v>
      </c>
      <c r="F14" s="9" t="s">
        <v>27</v>
      </c>
      <c r="G14" s="22" t="s">
        <v>44</v>
      </c>
      <c r="H14" s="14"/>
      <c r="I14" s="14"/>
    </row>
    <row r="15" spans="2:9" ht="13.2">
      <c r="B15" s="9"/>
      <c r="C15" t="s">
        <v>8</v>
      </c>
      <c r="D15" s="6">
        <v>2019</v>
      </c>
      <c r="E15" t="s">
        <v>47</v>
      </c>
      <c r="F15" s="9" t="s">
        <v>27</v>
      </c>
      <c r="G15" s="22" t="s">
        <v>44</v>
      </c>
      <c r="H15" s="14"/>
      <c r="I15" s="14"/>
    </row>
    <row r="16" spans="2:9" ht="13.2">
      <c r="B16" s="9"/>
      <c r="C16" t="s">
        <v>8</v>
      </c>
      <c r="D16" s="6">
        <v>2020</v>
      </c>
      <c r="E16" t="s">
        <v>47</v>
      </c>
      <c r="F16" s="9" t="s">
        <v>27</v>
      </c>
      <c r="G16" s="22" t="s">
        <v>44</v>
      </c>
      <c r="H16" s="14"/>
      <c r="I16" s="14"/>
    </row>
    <row r="17" spans="2:9" ht="13.2">
      <c r="B17" s="9"/>
      <c r="C17" t="s">
        <v>8</v>
      </c>
      <c r="D17" s="6">
        <v>2021</v>
      </c>
      <c r="E17" t="s">
        <v>47</v>
      </c>
      <c r="F17" s="9" t="s">
        <v>27</v>
      </c>
      <c r="G17" s="22" t="s">
        <v>44</v>
      </c>
      <c r="H17" s="14"/>
      <c r="I17" s="14"/>
    </row>
    <row r="18" spans="2:9" ht="13.2">
      <c r="B18" s="9"/>
      <c r="C18" t="s">
        <v>8</v>
      </c>
      <c r="D18" s="6">
        <v>2022</v>
      </c>
      <c r="E18" t="s">
        <v>47</v>
      </c>
      <c r="F18" s="9" t="s">
        <v>27</v>
      </c>
      <c r="G18" s="22" t="s">
        <v>44</v>
      </c>
      <c r="H18" s="14"/>
      <c r="I18" s="14"/>
    </row>
    <row r="19" spans="2:9" ht="13.2">
      <c r="B19" s="9"/>
      <c r="C19" t="s">
        <v>8</v>
      </c>
      <c r="D19" s="6">
        <v>2023</v>
      </c>
      <c r="E19" t="s">
        <v>47</v>
      </c>
      <c r="F19" s="9" t="s">
        <v>27</v>
      </c>
      <c r="G19" s="22" t="s">
        <v>44</v>
      </c>
      <c r="H19" s="14"/>
      <c r="I19" s="14"/>
    </row>
    <row r="20" spans="2:9" ht="13.2">
      <c r="B20" s="9"/>
      <c r="C20" t="s">
        <v>8</v>
      </c>
      <c r="D20" s="6">
        <v>2024</v>
      </c>
      <c r="E20" t="s">
        <v>47</v>
      </c>
      <c r="F20" s="9" t="s">
        <v>27</v>
      </c>
      <c r="G20" s="22" t="s">
        <v>44</v>
      </c>
      <c r="H20" s="14"/>
      <c r="I20" s="14"/>
    </row>
    <row r="21" spans="2:9" ht="13.2">
      <c r="B21" s="9"/>
      <c r="C21" t="s">
        <v>8</v>
      </c>
      <c r="D21" s="6">
        <v>2025</v>
      </c>
      <c r="E21" t="s">
        <v>47</v>
      </c>
      <c r="F21" s="9" t="s">
        <v>27</v>
      </c>
      <c r="G21" s="22" t="s">
        <v>44</v>
      </c>
      <c r="H21" s="14"/>
      <c r="I21" s="14"/>
    </row>
    <row r="22" spans="2:9" ht="13.2">
      <c r="B22" s="9"/>
      <c r="C22" t="s">
        <v>8</v>
      </c>
      <c r="D22" s="6">
        <v>2026</v>
      </c>
      <c r="E22" t="s">
        <v>47</v>
      </c>
      <c r="F22" s="9" t="s">
        <v>27</v>
      </c>
      <c r="G22" s="22" t="s">
        <v>44</v>
      </c>
      <c r="H22" s="14"/>
      <c r="I22" s="14"/>
    </row>
    <row r="23" spans="2:9" ht="13.2">
      <c r="B23" s="9"/>
      <c r="C23" t="s">
        <v>8</v>
      </c>
      <c r="D23" s="6">
        <v>2027</v>
      </c>
      <c r="E23" t="s">
        <v>47</v>
      </c>
      <c r="F23" s="9" t="s">
        <v>27</v>
      </c>
      <c r="G23" s="22" t="s">
        <v>44</v>
      </c>
      <c r="H23" s="14"/>
      <c r="I23" s="14"/>
    </row>
    <row r="24" spans="2:9" ht="13.2">
      <c r="B24" s="9"/>
      <c r="C24" t="s">
        <v>8</v>
      </c>
      <c r="D24" s="6">
        <v>2028</v>
      </c>
      <c r="E24" t="s">
        <v>47</v>
      </c>
      <c r="F24" s="9" t="s">
        <v>27</v>
      </c>
      <c r="G24" s="22" t="s">
        <v>44</v>
      </c>
      <c r="H24" s="14"/>
      <c r="I24" s="14"/>
    </row>
    <row r="25" spans="2:9" ht="13.2">
      <c r="B25" s="9"/>
      <c r="C25" t="s">
        <v>8</v>
      </c>
      <c r="D25" s="6">
        <v>2029</v>
      </c>
      <c r="E25" t="s">
        <v>47</v>
      </c>
      <c r="F25" s="9" t="s">
        <v>27</v>
      </c>
      <c r="G25" s="22" t="s">
        <v>44</v>
      </c>
      <c r="H25" s="14"/>
      <c r="I25" s="14"/>
    </row>
    <row r="26" spans="2:9" ht="13.2">
      <c r="B26" s="9"/>
      <c r="C26" t="s">
        <v>8</v>
      </c>
      <c r="D26" s="6">
        <v>2030</v>
      </c>
      <c r="E26" t="s">
        <v>47</v>
      </c>
      <c r="F26" s="9" t="s">
        <v>27</v>
      </c>
      <c r="G26" s="22" t="s">
        <v>44</v>
      </c>
      <c r="H26" s="14"/>
      <c r="I26" s="14"/>
    </row>
    <row r="27" spans="2:9" ht="13.2">
      <c r="B27" s="9"/>
      <c r="C27" t="s">
        <v>8</v>
      </c>
      <c r="D27" s="6">
        <v>2031</v>
      </c>
      <c r="E27" t="s">
        <v>47</v>
      </c>
      <c r="F27" s="9" t="s">
        <v>27</v>
      </c>
      <c r="G27" s="22" t="s">
        <v>44</v>
      </c>
      <c r="H27" s="14"/>
      <c r="I27" s="14"/>
    </row>
    <row r="28" spans="2:9" ht="13.2">
      <c r="B28" s="9"/>
      <c r="C28" t="s">
        <v>8</v>
      </c>
      <c r="D28" s="6">
        <v>2032</v>
      </c>
      <c r="E28" t="s">
        <v>47</v>
      </c>
      <c r="F28" s="9" t="s">
        <v>27</v>
      </c>
      <c r="G28" s="22" t="s">
        <v>44</v>
      </c>
      <c r="H28" s="14"/>
      <c r="I28" s="14"/>
    </row>
    <row r="29" spans="2:9" ht="13.2">
      <c r="B29" s="9"/>
      <c r="C29" t="s">
        <v>8</v>
      </c>
      <c r="D29" s="6">
        <v>2033</v>
      </c>
      <c r="E29" t="s">
        <v>47</v>
      </c>
      <c r="F29" s="9" t="s">
        <v>27</v>
      </c>
      <c r="G29" s="22" t="s">
        <v>44</v>
      </c>
      <c r="H29" s="14"/>
      <c r="I29" s="14"/>
    </row>
    <row r="30" spans="2:9" ht="13.2">
      <c r="B30" s="9"/>
      <c r="C30" t="s">
        <v>8</v>
      </c>
      <c r="D30" s="6">
        <v>2034</v>
      </c>
      <c r="E30" t="s">
        <v>47</v>
      </c>
      <c r="F30" s="9" t="s">
        <v>27</v>
      </c>
      <c r="G30" s="22" t="s">
        <v>44</v>
      </c>
      <c r="H30" s="14"/>
      <c r="I30" s="14"/>
    </row>
    <row r="31" spans="2:9" ht="13.2">
      <c r="B31" s="9"/>
      <c r="C31" t="s">
        <v>8</v>
      </c>
      <c r="D31" s="6">
        <v>2035</v>
      </c>
      <c r="E31" t="s">
        <v>47</v>
      </c>
      <c r="F31" s="9" t="s">
        <v>27</v>
      </c>
      <c r="G31" s="22" t="s">
        <v>44</v>
      </c>
      <c r="H31" s="14"/>
      <c r="I31" s="14"/>
    </row>
    <row r="32" spans="2:9" ht="13.2">
      <c r="B32" s="9"/>
      <c r="C32" t="s">
        <v>8</v>
      </c>
      <c r="D32" s="6">
        <v>2036</v>
      </c>
      <c r="E32" t="s">
        <v>47</v>
      </c>
      <c r="F32" s="9" t="s">
        <v>27</v>
      </c>
      <c r="G32" s="22" t="s">
        <v>44</v>
      </c>
      <c r="H32" s="14"/>
      <c r="I32" s="14"/>
    </row>
    <row r="33" spans="2:9" ht="13.2">
      <c r="B33" s="9"/>
      <c r="C33" t="s">
        <v>8</v>
      </c>
      <c r="D33" s="6">
        <v>2037</v>
      </c>
      <c r="E33" t="s">
        <v>47</v>
      </c>
      <c r="F33" s="9" t="s">
        <v>27</v>
      </c>
      <c r="G33" s="22" t="s">
        <v>44</v>
      </c>
      <c r="H33" s="14"/>
      <c r="I33" s="14"/>
    </row>
    <row r="34" spans="2:9" ht="13.2">
      <c r="B34" s="9"/>
      <c r="C34" t="s">
        <v>8</v>
      </c>
      <c r="D34" s="6">
        <v>2038</v>
      </c>
      <c r="E34" t="s">
        <v>47</v>
      </c>
      <c r="F34" s="9" t="s">
        <v>27</v>
      </c>
      <c r="G34" s="22" t="s">
        <v>44</v>
      </c>
      <c r="H34" s="14"/>
      <c r="I34" s="14"/>
    </row>
    <row r="35" spans="2:9" ht="13.2">
      <c r="B35" s="9"/>
      <c r="C35" t="s">
        <v>8</v>
      </c>
      <c r="D35" s="6">
        <v>2039</v>
      </c>
      <c r="E35" t="s">
        <v>47</v>
      </c>
      <c r="F35" s="9" t="s">
        <v>27</v>
      </c>
      <c r="G35" s="22" t="s">
        <v>44</v>
      </c>
      <c r="H35" s="14"/>
      <c r="I35" s="14"/>
    </row>
    <row r="36" spans="2:9" ht="13.2">
      <c r="B36" s="9"/>
      <c r="C36" t="s">
        <v>8</v>
      </c>
      <c r="D36" s="6">
        <v>2040</v>
      </c>
      <c r="E36" t="s">
        <v>47</v>
      </c>
      <c r="F36" s="9" t="s">
        <v>27</v>
      </c>
      <c r="G36" s="22" t="s">
        <v>44</v>
      </c>
      <c r="H36" s="14"/>
      <c r="I36" s="14"/>
    </row>
    <row r="37" spans="2:9" ht="13.2">
      <c r="B37" s="9"/>
      <c r="C37" t="s">
        <v>8</v>
      </c>
      <c r="D37" s="6">
        <v>2041</v>
      </c>
      <c r="E37" t="s">
        <v>47</v>
      </c>
      <c r="F37" s="9" t="s">
        <v>27</v>
      </c>
      <c r="G37" s="22" t="s">
        <v>44</v>
      </c>
      <c r="H37" s="14"/>
      <c r="I37" s="14"/>
    </row>
    <row r="38" spans="2:9" ht="13.2">
      <c r="B38" s="9"/>
      <c r="C38" t="s">
        <v>8</v>
      </c>
      <c r="D38" s="6">
        <v>2042</v>
      </c>
      <c r="E38" t="s">
        <v>47</v>
      </c>
      <c r="F38" s="9" t="s">
        <v>27</v>
      </c>
      <c r="G38" s="22" t="s">
        <v>44</v>
      </c>
      <c r="H38" s="14"/>
      <c r="I38" s="14"/>
    </row>
    <row r="39" spans="2:9" ht="13.2">
      <c r="B39" s="9"/>
      <c r="C39" t="s">
        <v>8</v>
      </c>
      <c r="D39" s="6">
        <v>2043</v>
      </c>
      <c r="E39" t="s">
        <v>47</v>
      </c>
      <c r="F39" s="9" t="s">
        <v>27</v>
      </c>
      <c r="G39" s="22" t="s">
        <v>44</v>
      </c>
      <c r="H39" s="14"/>
      <c r="I39" s="14"/>
    </row>
    <row r="40" spans="2:9" ht="13.2">
      <c r="B40" s="9"/>
      <c r="C40" t="s">
        <v>8</v>
      </c>
      <c r="D40" s="6">
        <v>2044</v>
      </c>
      <c r="E40" t="s">
        <v>47</v>
      </c>
      <c r="F40" s="9" t="s">
        <v>27</v>
      </c>
      <c r="G40" s="22" t="s">
        <v>44</v>
      </c>
      <c r="H40" s="14"/>
      <c r="I40" s="14"/>
    </row>
    <row r="41" spans="2:9" ht="13.2">
      <c r="B41" s="9"/>
      <c r="C41" t="s">
        <v>8</v>
      </c>
      <c r="D41" s="6">
        <v>2045</v>
      </c>
      <c r="E41" t="s">
        <v>47</v>
      </c>
      <c r="F41" s="9" t="s">
        <v>27</v>
      </c>
      <c r="G41" s="22" t="s">
        <v>44</v>
      </c>
      <c r="H41" s="14"/>
      <c r="I41" s="14"/>
    </row>
    <row r="42" spans="2:9" ht="13.2">
      <c r="B42" s="9"/>
      <c r="C42" t="s">
        <v>8</v>
      </c>
      <c r="D42" s="6">
        <v>2046</v>
      </c>
      <c r="E42" t="s">
        <v>47</v>
      </c>
      <c r="F42" s="9" t="s">
        <v>27</v>
      </c>
      <c r="G42" s="22" t="s">
        <v>44</v>
      </c>
      <c r="H42" s="14"/>
      <c r="I42" s="14"/>
    </row>
    <row r="43" spans="2:9" ht="13.2">
      <c r="B43" s="9"/>
      <c r="C43" t="s">
        <v>8</v>
      </c>
      <c r="D43" s="6">
        <v>2047</v>
      </c>
      <c r="E43" t="s">
        <v>47</v>
      </c>
      <c r="F43" s="9" t="s">
        <v>27</v>
      </c>
      <c r="G43" s="22" t="s">
        <v>44</v>
      </c>
      <c r="H43" s="14"/>
      <c r="I43" s="14"/>
    </row>
    <row r="44" spans="2:9" ht="13.2">
      <c r="B44" s="9"/>
      <c r="C44" t="s">
        <v>8</v>
      </c>
      <c r="D44" s="6">
        <v>2048</v>
      </c>
      <c r="E44" t="s">
        <v>47</v>
      </c>
      <c r="F44" s="9" t="s">
        <v>27</v>
      </c>
      <c r="G44" s="22" t="s">
        <v>44</v>
      </c>
      <c r="H44" s="14"/>
      <c r="I44" s="14"/>
    </row>
    <row r="45" spans="2:9" ht="13.2">
      <c r="B45" s="9"/>
      <c r="C45" t="s">
        <v>8</v>
      </c>
      <c r="D45" s="6">
        <v>2049</v>
      </c>
      <c r="E45" t="s">
        <v>47</v>
      </c>
      <c r="F45" s="9" t="s">
        <v>27</v>
      </c>
      <c r="G45" s="22" t="s">
        <v>44</v>
      </c>
      <c r="H45" s="14"/>
      <c r="I45" s="14"/>
    </row>
    <row r="46" spans="2:9" ht="13.2">
      <c r="B46" s="7"/>
      <c r="C46" s="7" t="s">
        <v>8</v>
      </c>
      <c r="D46" s="8">
        <v>2050</v>
      </c>
      <c r="E46" s="7" t="s">
        <v>47</v>
      </c>
      <c r="F46" s="7" t="s">
        <v>27</v>
      </c>
      <c r="G46" s="23" t="s">
        <v>44</v>
      </c>
      <c r="H46" s="21"/>
      <c r="I46" s="19"/>
    </row>
    <row r="47" spans="2:9">
      <c r="D47" s="6"/>
      <c r="F47" s="9"/>
      <c r="G47" s="9"/>
      <c r="H47" s="14"/>
      <c r="I47" s="14"/>
    </row>
    <row r="48" spans="2:9">
      <c r="D48" s="6"/>
      <c r="F48" s="9"/>
      <c r="G48" s="9"/>
      <c r="H48" s="14"/>
      <c r="I48" s="14"/>
    </row>
    <row r="49" spans="2:9">
      <c r="D49" s="6"/>
      <c r="F49" s="9"/>
      <c r="G49" s="9"/>
      <c r="H49" s="14"/>
      <c r="I49" s="14"/>
    </row>
    <row r="50" spans="2:9">
      <c r="D50" s="6"/>
      <c r="F50" s="9"/>
      <c r="G50" s="9"/>
      <c r="H50" s="14"/>
      <c r="I50" s="14"/>
    </row>
    <row r="51" spans="2:9">
      <c r="B51" s="9"/>
      <c r="C51" s="9"/>
      <c r="D51" s="6"/>
      <c r="E51" s="9"/>
      <c r="F51" s="9"/>
      <c r="G51" s="9"/>
      <c r="H51" s="14"/>
      <c r="I51" s="14"/>
    </row>
    <row r="52" spans="2:9">
      <c r="B52" s="9"/>
      <c r="C52" s="9"/>
      <c r="D52" s="6"/>
      <c r="E52" s="9"/>
      <c r="F52" s="9"/>
      <c r="G52" s="9"/>
      <c r="H52" s="14"/>
      <c r="I52" s="14"/>
    </row>
    <row r="53" spans="2:9">
      <c r="B53" s="9"/>
      <c r="C53" s="9"/>
      <c r="D53" s="6"/>
      <c r="E53" s="9"/>
      <c r="F53" s="9"/>
      <c r="G53" s="9"/>
      <c r="H53" s="14"/>
      <c r="I53" s="14"/>
    </row>
    <row r="54" spans="2:9">
      <c r="B54" s="9"/>
      <c r="C54" s="9"/>
      <c r="D54" s="6"/>
      <c r="E54" s="9"/>
      <c r="F54" s="9"/>
      <c r="G54" s="9"/>
      <c r="H54" s="14"/>
      <c r="I54" s="14"/>
    </row>
    <row r="55" spans="2:9">
      <c r="B55" s="9"/>
      <c r="C55" s="9"/>
      <c r="D55" s="6"/>
      <c r="E55" s="9"/>
      <c r="F55" s="9"/>
      <c r="G55" s="9"/>
      <c r="H55" s="14"/>
      <c r="I55" s="14"/>
    </row>
    <row r="56" spans="2:9">
      <c r="B56" s="9"/>
      <c r="C56" s="9"/>
      <c r="D56" s="6"/>
      <c r="E56" s="9"/>
      <c r="F56" s="9"/>
      <c r="G56" s="9"/>
      <c r="H56" s="14"/>
      <c r="I56" s="14"/>
    </row>
    <row r="57" spans="2:9">
      <c r="B57" s="9"/>
      <c r="C57" s="9"/>
      <c r="D57" s="6"/>
      <c r="E57" s="9"/>
      <c r="F57" s="9"/>
      <c r="G57" s="9"/>
      <c r="H57" s="14"/>
      <c r="I57" s="14"/>
    </row>
    <row r="58" spans="2:9">
      <c r="B58" s="9"/>
      <c r="C58" s="9"/>
      <c r="D58" s="6"/>
      <c r="E58" s="9"/>
      <c r="F58" s="9"/>
      <c r="G58" s="9"/>
      <c r="H58" s="14"/>
      <c r="I58" s="14"/>
    </row>
    <row r="59" spans="2:9">
      <c r="B59" s="9"/>
      <c r="C59" s="9"/>
      <c r="D59" s="6"/>
      <c r="E59" s="9"/>
      <c r="F59" s="9"/>
      <c r="G59" s="9"/>
      <c r="H59" s="14"/>
      <c r="I59" s="14"/>
    </row>
    <row r="60" spans="2:9">
      <c r="B60" s="9"/>
      <c r="C60" s="9"/>
      <c r="D60" s="6"/>
      <c r="E60" s="9"/>
      <c r="F60" s="9"/>
      <c r="G60" s="9"/>
      <c r="H60" s="14"/>
      <c r="I60" s="14"/>
    </row>
    <row r="61" spans="2:9">
      <c r="B61" s="9"/>
      <c r="C61" s="9"/>
      <c r="D61" s="6"/>
      <c r="E61" s="9"/>
      <c r="F61" s="9"/>
      <c r="G61" s="9"/>
      <c r="H61" s="14"/>
      <c r="I61" s="14"/>
    </row>
    <row r="62" spans="2:9">
      <c r="D62" s="6"/>
      <c r="F62" s="9"/>
      <c r="G62" s="9"/>
      <c r="H62" s="14"/>
      <c r="I62" s="14"/>
    </row>
    <row r="63" spans="2:9">
      <c r="D63" s="6"/>
      <c r="F63" s="9"/>
      <c r="G63" s="9"/>
      <c r="H63" s="14"/>
      <c r="I63" s="14"/>
    </row>
    <row r="64" spans="2:9">
      <c r="D64" s="6"/>
      <c r="F64" s="9"/>
      <c r="G64" s="9"/>
      <c r="H64" s="14"/>
      <c r="I64" s="14"/>
    </row>
    <row r="65" spans="4:9">
      <c r="D65" s="6"/>
      <c r="F65" s="9"/>
      <c r="G65" s="9"/>
      <c r="H65" s="14"/>
      <c r="I65" s="14"/>
    </row>
    <row r="66" spans="4:9">
      <c r="D66" s="6"/>
      <c r="F66" s="9"/>
      <c r="G66" s="9"/>
      <c r="H66" s="14"/>
      <c r="I66" s="14"/>
    </row>
    <row r="67" spans="4:9">
      <c r="D67" s="6"/>
      <c r="F67" s="9"/>
      <c r="G67" s="9"/>
      <c r="H67" s="14"/>
      <c r="I67" s="14"/>
    </row>
    <row r="68" spans="4:9">
      <c r="D68" s="6"/>
      <c r="F68" s="9"/>
      <c r="G68" s="9"/>
      <c r="H68" s="14"/>
      <c r="I68" s="14"/>
    </row>
    <row r="69" spans="4:9">
      <c r="D69" s="6"/>
      <c r="F69" s="9"/>
      <c r="G69" s="9"/>
      <c r="H69" s="14"/>
      <c r="I69" s="14"/>
    </row>
    <row r="70" spans="4:9">
      <c r="D70" s="6"/>
      <c r="F70" s="9"/>
      <c r="G70" s="9"/>
      <c r="H70" s="14"/>
      <c r="I70" s="14"/>
    </row>
    <row r="71" spans="4:9">
      <c r="D71" s="6"/>
      <c r="F71" s="9"/>
      <c r="G71" s="9"/>
      <c r="H71" s="14"/>
      <c r="I71" s="14"/>
    </row>
    <row r="72" spans="4:9">
      <c r="D72" s="6"/>
      <c r="F72" s="9"/>
      <c r="G72" s="9"/>
      <c r="H72" s="14"/>
      <c r="I72" s="14"/>
    </row>
    <row r="73" spans="4:9">
      <c r="D73" s="6"/>
      <c r="F73" s="9"/>
      <c r="G73" s="9"/>
      <c r="H73" s="14"/>
      <c r="I73" s="14"/>
    </row>
    <row r="74" spans="4:9">
      <c r="D74" s="6"/>
      <c r="F74" s="9"/>
      <c r="G74" s="9"/>
      <c r="H74" s="14"/>
      <c r="I74" s="14"/>
    </row>
    <row r="75" spans="4:9">
      <c r="D75" s="6"/>
      <c r="F75" s="9"/>
      <c r="G75" s="9"/>
      <c r="H75" s="14"/>
      <c r="I75" s="14"/>
    </row>
    <row r="76" spans="4:9">
      <c r="D76" s="6"/>
      <c r="F76" s="9"/>
      <c r="G76" s="9"/>
      <c r="H76" s="14"/>
      <c r="I76" s="14"/>
    </row>
    <row r="77" spans="4:9">
      <c r="D77" s="6"/>
      <c r="F77" s="9"/>
      <c r="G77" s="9"/>
      <c r="H77" s="14"/>
      <c r="I77" s="14"/>
    </row>
    <row r="78" spans="4:9">
      <c r="D78" s="6"/>
      <c r="F78" s="9"/>
      <c r="G78" s="9"/>
      <c r="H78" s="14"/>
      <c r="I78" s="14"/>
    </row>
    <row r="79" spans="4:9">
      <c r="D79" s="6"/>
      <c r="F79" s="9"/>
      <c r="G79" s="9"/>
      <c r="H79" s="14"/>
      <c r="I79" s="14"/>
    </row>
    <row r="80" spans="4:9">
      <c r="D80" s="6"/>
      <c r="F80" s="9"/>
      <c r="G80" s="9"/>
      <c r="H80" s="14"/>
      <c r="I80" s="14"/>
    </row>
    <row r="81" spans="2:9">
      <c r="D81" s="6"/>
      <c r="F81" s="9"/>
      <c r="G81" s="9"/>
      <c r="H81" s="14"/>
      <c r="I81" s="14"/>
    </row>
    <row r="82" spans="2:9">
      <c r="D82" s="6"/>
      <c r="F82" s="9"/>
      <c r="G82" s="9"/>
      <c r="H82" s="14"/>
      <c r="I82" s="14"/>
    </row>
    <row r="83" spans="2:9">
      <c r="D83" s="6"/>
      <c r="F83" s="9"/>
      <c r="G83" s="9"/>
      <c r="H83" s="14"/>
      <c r="I83" s="14"/>
    </row>
    <row r="84" spans="2:9">
      <c r="D84" s="6"/>
      <c r="F84" s="9"/>
      <c r="G84" s="9"/>
      <c r="H84" s="14"/>
      <c r="I84" s="14"/>
    </row>
    <row r="85" spans="2:9">
      <c r="D85" s="6"/>
      <c r="F85" s="9"/>
      <c r="G85" s="9"/>
      <c r="H85" s="14"/>
      <c r="I85" s="14"/>
    </row>
    <row r="86" spans="2:9">
      <c r="D86" s="6"/>
      <c r="F86" s="9"/>
      <c r="G86" s="9"/>
      <c r="H86" s="14"/>
      <c r="I86" s="14"/>
    </row>
    <row r="87" spans="2:9">
      <c r="B87" s="7"/>
      <c r="C87" s="7"/>
      <c r="D87" s="6"/>
      <c r="E87" s="7"/>
      <c r="F87" s="7"/>
      <c r="G87" s="9"/>
      <c r="H87" s="14"/>
      <c r="I87" s="14"/>
    </row>
    <row r="88" spans="2:9">
      <c r="D88" s="6"/>
      <c r="H88" s="14"/>
      <c r="I88" s="14"/>
    </row>
    <row r="89" spans="2:9">
      <c r="D89" s="6"/>
      <c r="H89" s="14"/>
      <c r="I89" s="14"/>
    </row>
    <row r="90" spans="2:9">
      <c r="D90" s="6"/>
      <c r="F90" s="9"/>
      <c r="G90" s="9"/>
      <c r="H90" s="14"/>
      <c r="I90" s="14"/>
    </row>
    <row r="91" spans="2:9">
      <c r="D91" s="6"/>
      <c r="F91" s="9"/>
      <c r="G91" s="9"/>
      <c r="H91" s="14"/>
      <c r="I91" s="14"/>
    </row>
    <row r="92" spans="2:9">
      <c r="D92" s="6"/>
      <c r="F92" s="9"/>
      <c r="G92" s="9"/>
      <c r="H92" s="14"/>
      <c r="I92" s="14"/>
    </row>
    <row r="93" spans="2:9">
      <c r="D93" s="6"/>
      <c r="F93" s="9"/>
      <c r="G93" s="9"/>
      <c r="H93" s="14"/>
      <c r="I93" s="14"/>
    </row>
    <row r="94" spans="2:9">
      <c r="D94" s="6"/>
      <c r="F94" s="9"/>
      <c r="G94" s="9"/>
      <c r="H94" s="14"/>
      <c r="I94" s="14"/>
    </row>
    <row r="95" spans="2:9">
      <c r="D95" s="6"/>
      <c r="F95" s="9"/>
      <c r="G95" s="9"/>
      <c r="H95" s="14"/>
      <c r="I95" s="14"/>
    </row>
    <row r="96" spans="2:9">
      <c r="D96" s="6"/>
      <c r="F96" s="9"/>
      <c r="G96" s="9"/>
      <c r="H96" s="14"/>
      <c r="I96" s="14"/>
    </row>
    <row r="97" spans="4:9">
      <c r="D97" s="6"/>
      <c r="F97" s="9"/>
      <c r="G97" s="9"/>
      <c r="H97" s="14"/>
      <c r="I97" s="14"/>
    </row>
    <row r="98" spans="4:9">
      <c r="D98" s="6"/>
      <c r="F98" s="9"/>
      <c r="G98" s="9"/>
      <c r="H98" s="14"/>
      <c r="I98" s="14"/>
    </row>
    <row r="99" spans="4:9">
      <c r="D99" s="6"/>
      <c r="F99" s="9"/>
      <c r="G99" s="9"/>
      <c r="H99" s="14"/>
      <c r="I99" s="14"/>
    </row>
    <row r="100" spans="4:9">
      <c r="D100" s="6"/>
      <c r="F100" s="9"/>
      <c r="G100" s="9"/>
      <c r="H100" s="14"/>
      <c r="I100" s="14"/>
    </row>
    <row r="101" spans="4:9">
      <c r="D101" s="6"/>
      <c r="F101" s="9"/>
      <c r="G101" s="9"/>
      <c r="H101" s="14"/>
      <c r="I101" s="14"/>
    </row>
    <row r="102" spans="4:9">
      <c r="D102" s="6"/>
      <c r="F102" s="9"/>
      <c r="G102" s="9"/>
      <c r="H102" s="14"/>
      <c r="I102" s="14"/>
    </row>
    <row r="103" spans="4:9">
      <c r="D103" s="6"/>
      <c r="F103" s="9"/>
      <c r="G103" s="9"/>
      <c r="H103" s="14"/>
      <c r="I103" s="14"/>
    </row>
    <row r="104" spans="4:9">
      <c r="D104" s="6"/>
      <c r="F104" s="9"/>
      <c r="G104" s="9"/>
      <c r="H104" s="14"/>
      <c r="I104" s="14"/>
    </row>
    <row r="105" spans="4:9">
      <c r="D105" s="6"/>
      <c r="F105" s="9"/>
      <c r="G105" s="9"/>
      <c r="H105" s="14"/>
      <c r="I105" s="14"/>
    </row>
    <row r="106" spans="4:9">
      <c r="D106" s="6"/>
      <c r="F106" s="9"/>
      <c r="G106" s="9"/>
      <c r="H106" s="14"/>
      <c r="I106" s="14"/>
    </row>
    <row r="107" spans="4:9">
      <c r="D107" s="6"/>
      <c r="F107" s="9"/>
      <c r="G107" s="9"/>
      <c r="H107" s="14"/>
      <c r="I107" s="14"/>
    </row>
    <row r="108" spans="4:9">
      <c r="D108" s="6"/>
      <c r="F108" s="9"/>
      <c r="G108" s="9"/>
      <c r="H108" s="14"/>
      <c r="I108" s="14"/>
    </row>
    <row r="109" spans="4:9">
      <c r="D109" s="6"/>
      <c r="F109" s="9"/>
      <c r="G109" s="9"/>
      <c r="H109" s="14"/>
      <c r="I109" s="14"/>
    </row>
    <row r="110" spans="4:9">
      <c r="D110" s="6"/>
      <c r="F110" s="9"/>
      <c r="G110" s="9"/>
      <c r="H110" s="14"/>
      <c r="I110" s="14"/>
    </row>
    <row r="111" spans="4:9">
      <c r="D111" s="6"/>
      <c r="F111" s="9"/>
      <c r="G111" s="9"/>
      <c r="H111" s="14"/>
      <c r="I111" s="14"/>
    </row>
    <row r="112" spans="4:9">
      <c r="D112" s="6"/>
      <c r="F112" s="9"/>
      <c r="G112" s="9"/>
      <c r="H112" s="14"/>
      <c r="I112" s="14"/>
    </row>
    <row r="113" spans="2:9">
      <c r="D113" s="6"/>
      <c r="F113" s="9"/>
      <c r="G113" s="9"/>
      <c r="H113" s="14"/>
      <c r="I113" s="14"/>
    </row>
    <row r="114" spans="2:9">
      <c r="D114" s="6"/>
      <c r="F114" s="9"/>
      <c r="G114" s="9"/>
      <c r="H114" s="14"/>
      <c r="I114" s="14"/>
    </row>
    <row r="115" spans="2:9">
      <c r="D115" s="6"/>
      <c r="F115" s="9"/>
      <c r="G115" s="9"/>
      <c r="H115" s="14"/>
      <c r="I115" s="14"/>
    </row>
    <row r="116" spans="2:9">
      <c r="D116" s="6"/>
      <c r="F116" s="9"/>
      <c r="G116" s="9"/>
      <c r="H116" s="14"/>
      <c r="I116" s="14"/>
    </row>
    <row r="117" spans="2:9">
      <c r="D117" s="6"/>
      <c r="F117" s="9"/>
      <c r="G117" s="9"/>
      <c r="H117" s="14"/>
      <c r="I117" s="14"/>
    </row>
    <row r="118" spans="2:9">
      <c r="D118" s="6"/>
      <c r="F118" s="9"/>
      <c r="G118" s="9"/>
      <c r="H118" s="14"/>
      <c r="I118" s="14"/>
    </row>
    <row r="119" spans="2:9">
      <c r="D119" s="6"/>
      <c r="F119" s="9"/>
      <c r="G119" s="9"/>
      <c r="H119" s="14"/>
      <c r="I119" s="14"/>
    </row>
    <row r="120" spans="2:9">
      <c r="D120" s="6"/>
      <c r="F120" s="9"/>
      <c r="G120" s="9"/>
      <c r="H120" s="14"/>
      <c r="I120" s="14"/>
    </row>
    <row r="121" spans="2:9">
      <c r="D121" s="6"/>
      <c r="F121" s="9"/>
      <c r="G121" s="9"/>
      <c r="H121" s="14"/>
      <c r="I121" s="14"/>
    </row>
    <row r="122" spans="2:9">
      <c r="D122" s="6"/>
      <c r="F122" s="9"/>
      <c r="G122" s="9"/>
      <c r="H122" s="14"/>
      <c r="I122" s="14"/>
    </row>
    <row r="123" spans="2:9">
      <c r="D123" s="6"/>
      <c r="F123" s="9"/>
      <c r="G123" s="9"/>
      <c r="H123" s="14"/>
      <c r="I123" s="14"/>
    </row>
    <row r="124" spans="2:9">
      <c r="D124" s="6"/>
      <c r="F124" s="9"/>
      <c r="G124" s="9"/>
      <c r="H124" s="14"/>
      <c r="I124" s="14"/>
    </row>
    <row r="125" spans="2:9">
      <c r="D125" s="6"/>
      <c r="F125" s="9"/>
      <c r="G125" s="9"/>
      <c r="H125" s="14"/>
      <c r="I125" s="14"/>
    </row>
    <row r="126" spans="2:9">
      <c r="D126" s="6"/>
      <c r="F126" s="9"/>
      <c r="G126" s="9"/>
      <c r="H126" s="14"/>
      <c r="I126" s="14"/>
    </row>
    <row r="127" spans="2:9">
      <c r="D127" s="6"/>
      <c r="F127" s="9"/>
      <c r="G127" s="9"/>
      <c r="H127" s="14"/>
      <c r="I127" s="14"/>
    </row>
    <row r="128" spans="2:9">
      <c r="B128" s="7"/>
      <c r="C128" s="7"/>
      <c r="D128" s="8"/>
      <c r="E128" s="7"/>
      <c r="F128" s="7"/>
      <c r="G128" s="7"/>
      <c r="H128" s="21"/>
      <c r="I128" s="19"/>
    </row>
    <row r="129" spans="2:9">
      <c r="B129" s="9"/>
      <c r="C129" s="9"/>
      <c r="D129" s="20"/>
      <c r="E129" s="10"/>
      <c r="F129" s="9"/>
      <c r="G129" s="9"/>
      <c r="H129" s="19"/>
      <c r="I129" s="19"/>
    </row>
    <row r="130" spans="2:9">
      <c r="B130" s="9"/>
      <c r="C130" s="9"/>
      <c r="D130" s="20"/>
      <c r="E130" s="10"/>
      <c r="F130" s="9"/>
      <c r="G130" s="9"/>
      <c r="H130" s="19"/>
      <c r="I130" s="19"/>
    </row>
    <row r="131" spans="2:9">
      <c r="B131" s="9"/>
      <c r="C131" s="9"/>
      <c r="D131" s="20"/>
      <c r="E131" s="10"/>
      <c r="F131" s="9"/>
      <c r="G131" s="9"/>
      <c r="H131" s="19"/>
      <c r="I131" s="19"/>
    </row>
    <row r="132" spans="2:9">
      <c r="B132" s="9"/>
      <c r="C132" s="9"/>
      <c r="D132" s="20"/>
      <c r="E132" s="10"/>
      <c r="F132" s="9"/>
      <c r="G132" s="9"/>
      <c r="H132" s="19"/>
      <c r="I132" s="19"/>
    </row>
    <row r="133" spans="2:9">
      <c r="B133" s="9"/>
      <c r="C133" s="9"/>
      <c r="D133" s="20"/>
      <c r="E133" s="10"/>
      <c r="F133" s="9"/>
      <c r="G133" s="9"/>
      <c r="H133" s="19"/>
      <c r="I133" s="19"/>
    </row>
    <row r="134" spans="2:9">
      <c r="B134" s="9"/>
      <c r="C134" s="9"/>
      <c r="D134" s="20"/>
      <c r="E134" s="10"/>
      <c r="F134" s="9"/>
      <c r="G134" s="9"/>
      <c r="H134" s="19"/>
      <c r="I134" s="19"/>
    </row>
    <row r="135" spans="2:9">
      <c r="B135" s="9"/>
      <c r="C135" s="9"/>
      <c r="D135" s="20"/>
      <c r="E135" s="10"/>
      <c r="F135" s="9"/>
      <c r="G135" s="9"/>
      <c r="H135" s="19"/>
      <c r="I135" s="19"/>
    </row>
    <row r="136" spans="2:9">
      <c r="B136" s="9"/>
      <c r="C136" s="9"/>
      <c r="D136" s="20"/>
      <c r="E136" s="10"/>
      <c r="F136" s="9"/>
      <c r="G136" s="9"/>
      <c r="H136" s="19"/>
      <c r="I136" s="19"/>
    </row>
    <row r="137" spans="2:9">
      <c r="B137" s="9"/>
      <c r="C137" s="9"/>
      <c r="D137" s="20"/>
      <c r="E137" s="10"/>
      <c r="F137" s="9"/>
      <c r="G137" s="9"/>
      <c r="H137" s="19"/>
      <c r="I137" s="19"/>
    </row>
    <row r="138" spans="2:9">
      <c r="B138" s="9"/>
      <c r="C138" s="9"/>
      <c r="D138" s="20"/>
      <c r="E138" s="10"/>
      <c r="F138" s="9"/>
      <c r="G138" s="9"/>
      <c r="H138" s="19"/>
      <c r="I138" s="19"/>
    </row>
    <row r="139" spans="2:9">
      <c r="B139" s="9"/>
      <c r="C139" s="9"/>
      <c r="D139" s="20"/>
      <c r="E139" s="10"/>
      <c r="F139" s="9"/>
      <c r="G139" s="9"/>
      <c r="H139" s="19"/>
      <c r="I139" s="19"/>
    </row>
    <row r="140" spans="2:9">
      <c r="B140" s="9"/>
      <c r="C140" s="9"/>
      <c r="D140" s="20"/>
      <c r="E140" s="10"/>
      <c r="F140" s="9"/>
      <c r="G140" s="9"/>
      <c r="H140" s="19"/>
      <c r="I140" s="19"/>
    </row>
    <row r="141" spans="2:9">
      <c r="B141" s="9"/>
      <c r="C141" s="9"/>
      <c r="D141" s="20"/>
      <c r="E141" s="10"/>
      <c r="F141" s="9"/>
      <c r="G141" s="9"/>
      <c r="H141" s="19"/>
      <c r="I141" s="19"/>
    </row>
    <row r="142" spans="2:9">
      <c r="B142" s="9"/>
      <c r="C142" s="9"/>
      <c r="D142" s="20"/>
      <c r="E142" s="10"/>
      <c r="F142" s="9"/>
      <c r="G142" s="9"/>
      <c r="H142" s="19"/>
      <c r="I142" s="19"/>
    </row>
    <row r="143" spans="2:9">
      <c r="B143" s="9"/>
      <c r="C143" s="9"/>
      <c r="D143" s="20"/>
      <c r="E143" s="10"/>
      <c r="F143" s="9"/>
      <c r="G143" s="9"/>
      <c r="H143" s="19"/>
      <c r="I143" s="19"/>
    </row>
    <row r="144" spans="2:9">
      <c r="B144" s="9"/>
      <c r="C144" s="9"/>
      <c r="D144" s="20"/>
      <c r="E144" s="10"/>
      <c r="F144" s="9"/>
      <c r="G144" s="9"/>
      <c r="H144" s="19"/>
      <c r="I144" s="19"/>
    </row>
    <row r="145" spans="2:9">
      <c r="B145" s="9"/>
      <c r="C145" s="9"/>
      <c r="D145" s="20"/>
      <c r="E145" s="10"/>
      <c r="F145" s="9"/>
      <c r="G145" s="9"/>
      <c r="H145" s="19"/>
      <c r="I145" s="19"/>
    </row>
    <row r="146" spans="2:9">
      <c r="B146" s="9"/>
      <c r="C146" s="9"/>
      <c r="D146" s="20"/>
      <c r="E146" s="10"/>
      <c r="F146" s="9"/>
      <c r="G146" s="9"/>
      <c r="H146" s="19"/>
      <c r="I146" s="19"/>
    </row>
    <row r="147" spans="2:9">
      <c r="B147" s="9"/>
      <c r="C147" s="9"/>
      <c r="D147" s="20"/>
      <c r="E147" s="10"/>
      <c r="F147" s="9"/>
      <c r="G147" s="9"/>
      <c r="H147" s="19"/>
      <c r="I147" s="19"/>
    </row>
    <row r="148" spans="2:9">
      <c r="B148" s="9"/>
      <c r="C148" s="9"/>
      <c r="D148" s="20"/>
      <c r="E148" s="10"/>
      <c r="F148" s="9"/>
      <c r="G148" s="9"/>
      <c r="H148" s="19"/>
      <c r="I148" s="19"/>
    </row>
    <row r="149" spans="2:9">
      <c r="B149" s="9"/>
      <c r="C149" s="9"/>
      <c r="D149" s="20"/>
      <c r="E149" s="10"/>
      <c r="F149" s="9"/>
      <c r="G149" s="9"/>
      <c r="H149" s="19"/>
      <c r="I149" s="19"/>
    </row>
    <row r="150" spans="2:9">
      <c r="B150" s="9"/>
      <c r="C150" s="9"/>
      <c r="D150" s="20"/>
      <c r="E150" s="10"/>
      <c r="F150" s="9"/>
      <c r="G150" s="9"/>
      <c r="H150" s="19"/>
      <c r="I150" s="19"/>
    </row>
    <row r="151" spans="2:9">
      <c r="B151" s="9"/>
      <c r="C151" s="9"/>
      <c r="D151" s="20"/>
      <c r="E151" s="10"/>
      <c r="F151" s="9"/>
      <c r="G151" s="9"/>
      <c r="H151" s="19"/>
      <c r="I151" s="19"/>
    </row>
    <row r="152" spans="2:9">
      <c r="B152" s="9"/>
      <c r="C152" s="9"/>
      <c r="D152" s="20"/>
      <c r="E152" s="10"/>
      <c r="F152" s="9"/>
      <c r="G152" s="9"/>
      <c r="H152" s="19"/>
      <c r="I152" s="19"/>
    </row>
    <row r="153" spans="2:9">
      <c r="B153" s="9"/>
      <c r="C153" s="9"/>
      <c r="D153" s="20"/>
      <c r="E153" s="10"/>
      <c r="F153" s="9"/>
      <c r="G153" s="9"/>
      <c r="H153" s="19"/>
      <c r="I153" s="19"/>
    </row>
    <row r="154" spans="2:9">
      <c r="B154" s="9"/>
      <c r="C154" s="9"/>
      <c r="D154" s="20"/>
      <c r="E154" s="10"/>
      <c r="F154" s="9"/>
      <c r="G154" s="9"/>
      <c r="H154" s="19"/>
      <c r="I154" s="19"/>
    </row>
    <row r="155" spans="2:9">
      <c r="B155" s="9"/>
      <c r="C155" s="9"/>
      <c r="D155" s="20"/>
      <c r="E155" s="10"/>
      <c r="F155" s="9"/>
      <c r="G155" s="9"/>
      <c r="H155" s="19"/>
      <c r="I155" s="19"/>
    </row>
    <row r="156" spans="2:9">
      <c r="B156" s="9"/>
      <c r="C156" s="9"/>
      <c r="D156" s="20"/>
      <c r="E156" s="10"/>
      <c r="F156" s="9"/>
      <c r="G156" s="9"/>
      <c r="H156" s="19"/>
      <c r="I156" s="19"/>
    </row>
    <row r="157" spans="2:9">
      <c r="B157" s="9"/>
      <c r="C157" s="9"/>
      <c r="D157" s="20"/>
      <c r="E157" s="10"/>
      <c r="F157" s="9"/>
      <c r="G157" s="9"/>
      <c r="H157" s="19"/>
      <c r="I157" s="19"/>
    </row>
    <row r="158" spans="2:9">
      <c r="B158" s="9"/>
      <c r="C158" s="9"/>
      <c r="D158" s="20"/>
      <c r="E158" s="10"/>
      <c r="F158" s="9"/>
      <c r="G158" s="9"/>
      <c r="H158" s="19"/>
      <c r="I158" s="19"/>
    </row>
    <row r="159" spans="2:9">
      <c r="B159" s="9"/>
      <c r="C159" s="9"/>
      <c r="D159" s="20"/>
      <c r="E159" s="10"/>
      <c r="F159" s="9"/>
      <c r="G159" s="9"/>
      <c r="H159" s="19"/>
      <c r="I159" s="19"/>
    </row>
    <row r="160" spans="2:9">
      <c r="B160" s="9"/>
      <c r="C160" s="9"/>
      <c r="D160" s="20"/>
      <c r="E160" s="10"/>
      <c r="F160" s="9"/>
      <c r="G160" s="9"/>
      <c r="H160" s="19"/>
      <c r="I160" s="19"/>
    </row>
    <row r="161" spans="2:9">
      <c r="B161" s="9"/>
      <c r="C161" s="9"/>
      <c r="D161" s="20"/>
      <c r="E161" s="10"/>
      <c r="F161" s="9"/>
      <c r="G161" s="9"/>
      <c r="H161" s="19"/>
      <c r="I161" s="19"/>
    </row>
    <row r="162" spans="2:9">
      <c r="B162" s="9"/>
      <c r="C162" s="9"/>
      <c r="D162" s="20"/>
      <c r="E162" s="10"/>
      <c r="F162" s="9"/>
      <c r="G162" s="9"/>
      <c r="H162" s="19"/>
      <c r="I162" s="19"/>
    </row>
    <row r="163" spans="2:9">
      <c r="B163" s="9"/>
      <c r="C163" s="9"/>
      <c r="D163" s="20"/>
      <c r="E163" s="10"/>
      <c r="F163" s="9"/>
      <c r="G163" s="9"/>
      <c r="H163" s="19"/>
      <c r="I163" s="19"/>
    </row>
    <row r="164" spans="2:9">
      <c r="B164" s="9"/>
      <c r="C164" s="9"/>
      <c r="D164" s="20"/>
      <c r="E164" s="10"/>
      <c r="F164" s="9"/>
      <c r="G164" s="9"/>
      <c r="H164" s="19"/>
      <c r="I164" s="19"/>
    </row>
    <row r="165" spans="2:9">
      <c r="B165" s="9"/>
      <c r="C165" s="9"/>
      <c r="D165" s="20"/>
      <c r="E165" s="10"/>
      <c r="F165" s="9"/>
      <c r="G165" s="9"/>
      <c r="H165" s="19"/>
      <c r="I165" s="19"/>
    </row>
    <row r="166" spans="2:9">
      <c r="B166" s="9"/>
      <c r="C166" s="9"/>
      <c r="D166" s="20"/>
      <c r="E166" s="10"/>
      <c r="F166" s="9"/>
      <c r="G166" s="9"/>
      <c r="H166" s="19"/>
      <c r="I166" s="19"/>
    </row>
    <row r="167" spans="2:9">
      <c r="B167" s="9"/>
      <c r="C167" s="9"/>
      <c r="D167" s="20"/>
      <c r="E167" s="10"/>
      <c r="F167" s="9"/>
      <c r="G167" s="9"/>
      <c r="H167" s="19"/>
      <c r="I167" s="19"/>
    </row>
    <row r="168" spans="2:9">
      <c r="B168" s="9"/>
      <c r="C168" s="9"/>
      <c r="D168" s="20"/>
      <c r="E168" s="10"/>
      <c r="F168" s="9"/>
      <c r="G168" s="9"/>
      <c r="H168" s="19"/>
      <c r="I168" s="19"/>
    </row>
    <row r="169" spans="2:9">
      <c r="B169" s="9"/>
      <c r="C169" s="9"/>
      <c r="D169" s="20"/>
      <c r="E169" s="10"/>
      <c r="F169" s="9"/>
      <c r="G169" s="9"/>
      <c r="H169" s="19"/>
      <c r="I169" s="19"/>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Ark8">
    <tabColor rgb="FF00B0F0"/>
  </sheetPr>
  <dimension ref="B2:I169"/>
  <sheetViews>
    <sheetView workbookViewId="0">
      <selection activeCell="I5" sqref="B2:I169"/>
    </sheetView>
  </sheetViews>
  <sheetFormatPr defaultRowHeight="12.6"/>
  <cols>
    <col min="1" max="1" width="3.88671875" customWidth="1"/>
    <col min="2" max="5" width="11.33203125" customWidth="1"/>
    <col min="6" max="6" width="12.109375" bestFit="1" customWidth="1"/>
    <col min="7" max="9" width="11.33203125" customWidth="1"/>
  </cols>
  <sheetData>
    <row r="2" spans="2:9" ht="25.8">
      <c r="B2" s="11" t="s">
        <v>69</v>
      </c>
    </row>
    <row r="4" spans="2:9" ht="14.4">
      <c r="B4" s="2" t="s">
        <v>191</v>
      </c>
      <c r="C4" s="1"/>
      <c r="D4" s="1"/>
      <c r="E4" s="1"/>
      <c r="F4" s="1"/>
      <c r="G4" s="1"/>
      <c r="H4" s="1"/>
      <c r="I4" s="1"/>
    </row>
    <row r="5" spans="2:9" ht="13.8" thickBot="1">
      <c r="B5" s="3" t="s">
        <v>4</v>
      </c>
      <c r="C5" s="3" t="s">
        <v>5</v>
      </c>
      <c r="D5" s="3" t="s">
        <v>1</v>
      </c>
      <c r="E5" s="5" t="s">
        <v>46</v>
      </c>
      <c r="F5" s="5" t="s">
        <v>6</v>
      </c>
      <c r="G5" s="18" t="s">
        <v>43</v>
      </c>
      <c r="H5" s="4" t="s">
        <v>432</v>
      </c>
      <c r="I5" s="275" t="s">
        <v>433</v>
      </c>
    </row>
    <row r="6" spans="2:9" ht="13.2">
      <c r="C6" t="s">
        <v>48</v>
      </c>
      <c r="D6" s="6">
        <v>2010</v>
      </c>
      <c r="E6" t="s">
        <v>47</v>
      </c>
      <c r="F6" s="12" t="s">
        <v>27</v>
      </c>
      <c r="G6" s="22" t="s">
        <v>44</v>
      </c>
      <c r="H6" s="14"/>
      <c r="I6" s="14"/>
    </row>
    <row r="7" spans="2:9" ht="13.2">
      <c r="C7" s="9" t="s">
        <v>48</v>
      </c>
      <c r="D7" s="6">
        <v>2011</v>
      </c>
      <c r="E7" t="s">
        <v>47</v>
      </c>
      <c r="F7" s="9" t="s">
        <v>27</v>
      </c>
      <c r="G7" s="22" t="s">
        <v>44</v>
      </c>
      <c r="H7" s="14"/>
      <c r="I7" s="14"/>
    </row>
    <row r="8" spans="2:9" ht="13.2">
      <c r="C8" s="9" t="s">
        <v>48</v>
      </c>
      <c r="D8" s="6">
        <v>2012</v>
      </c>
      <c r="E8" t="s">
        <v>47</v>
      </c>
      <c r="F8" s="9" t="s">
        <v>27</v>
      </c>
      <c r="G8" s="22" t="s">
        <v>44</v>
      </c>
      <c r="H8" s="14"/>
      <c r="I8" s="14"/>
    </row>
    <row r="9" spans="2:9" ht="13.2">
      <c r="C9" s="9" t="s">
        <v>48</v>
      </c>
      <c r="D9" s="6">
        <v>2013</v>
      </c>
      <c r="E9" t="s">
        <v>47</v>
      </c>
      <c r="F9" s="9" t="s">
        <v>27</v>
      </c>
      <c r="G9" s="22" t="s">
        <v>44</v>
      </c>
      <c r="H9" s="14"/>
      <c r="I9" s="14"/>
    </row>
    <row r="10" spans="2:9" ht="13.2">
      <c r="C10" s="9" t="s">
        <v>48</v>
      </c>
      <c r="D10" s="6">
        <v>2014</v>
      </c>
      <c r="E10" t="s">
        <v>47</v>
      </c>
      <c r="F10" s="9" t="s">
        <v>27</v>
      </c>
      <c r="G10" s="22" t="s">
        <v>44</v>
      </c>
      <c r="H10" s="14"/>
      <c r="I10" s="14"/>
    </row>
    <row r="11" spans="2:9" ht="13.2">
      <c r="B11" s="9"/>
      <c r="C11" s="9" t="s">
        <v>48</v>
      </c>
      <c r="D11" s="6">
        <v>2015</v>
      </c>
      <c r="E11" t="s">
        <v>47</v>
      </c>
      <c r="F11" s="9" t="s">
        <v>27</v>
      </c>
      <c r="G11" s="22" t="s">
        <v>44</v>
      </c>
      <c r="H11" s="14"/>
      <c r="I11" s="14"/>
    </row>
    <row r="12" spans="2:9" ht="13.2">
      <c r="B12" s="9"/>
      <c r="C12" s="9" t="s">
        <v>48</v>
      </c>
      <c r="D12" s="6">
        <v>2016</v>
      </c>
      <c r="E12" t="s">
        <v>47</v>
      </c>
      <c r="F12" s="9" t="s">
        <v>27</v>
      </c>
      <c r="G12" s="22" t="s">
        <v>44</v>
      </c>
      <c r="H12" s="14"/>
      <c r="I12" s="14"/>
    </row>
    <row r="13" spans="2:9" ht="13.2">
      <c r="B13" s="9"/>
      <c r="C13" s="9" t="s">
        <v>48</v>
      </c>
      <c r="D13" s="6">
        <v>2017</v>
      </c>
      <c r="E13" t="s">
        <v>47</v>
      </c>
      <c r="F13" s="9" t="s">
        <v>27</v>
      </c>
      <c r="G13" s="22" t="s">
        <v>44</v>
      </c>
      <c r="H13" s="14"/>
      <c r="I13" s="14"/>
    </row>
    <row r="14" spans="2:9" ht="13.2">
      <c r="B14" s="9"/>
      <c r="C14" s="9" t="s">
        <v>48</v>
      </c>
      <c r="D14" s="6">
        <v>2018</v>
      </c>
      <c r="E14" t="s">
        <v>47</v>
      </c>
      <c r="F14" s="9" t="s">
        <v>27</v>
      </c>
      <c r="G14" s="22" t="s">
        <v>44</v>
      </c>
      <c r="H14" s="14"/>
      <c r="I14" s="14"/>
    </row>
    <row r="15" spans="2:9" ht="13.2">
      <c r="B15" s="9"/>
      <c r="C15" s="9" t="s">
        <v>48</v>
      </c>
      <c r="D15" s="6">
        <v>2019</v>
      </c>
      <c r="E15" t="s">
        <v>47</v>
      </c>
      <c r="F15" s="9" t="s">
        <v>27</v>
      </c>
      <c r="G15" s="22" t="s">
        <v>44</v>
      </c>
      <c r="H15" s="14"/>
      <c r="I15" s="14"/>
    </row>
    <row r="16" spans="2:9" ht="13.2">
      <c r="B16" s="9"/>
      <c r="C16" s="9" t="s">
        <v>48</v>
      </c>
      <c r="D16" s="6">
        <v>2020</v>
      </c>
      <c r="E16" t="s">
        <v>47</v>
      </c>
      <c r="F16" s="9" t="s">
        <v>27</v>
      </c>
      <c r="G16" s="22" t="s">
        <v>44</v>
      </c>
      <c r="H16" s="14"/>
      <c r="I16" s="14"/>
    </row>
    <row r="17" spans="2:9" ht="13.2">
      <c r="B17" s="9"/>
      <c r="C17" s="9" t="s">
        <v>48</v>
      </c>
      <c r="D17" s="6">
        <v>2021</v>
      </c>
      <c r="E17" t="s">
        <v>47</v>
      </c>
      <c r="F17" s="9" t="s">
        <v>27</v>
      </c>
      <c r="G17" s="22" t="s">
        <v>44</v>
      </c>
      <c r="H17" s="14"/>
      <c r="I17" s="14"/>
    </row>
    <row r="18" spans="2:9" ht="13.2">
      <c r="B18" s="9"/>
      <c r="C18" s="9" t="s">
        <v>48</v>
      </c>
      <c r="D18" s="6">
        <v>2022</v>
      </c>
      <c r="E18" t="s">
        <v>47</v>
      </c>
      <c r="F18" s="9" t="s">
        <v>27</v>
      </c>
      <c r="G18" s="22" t="s">
        <v>44</v>
      </c>
      <c r="H18" s="14"/>
      <c r="I18" s="14"/>
    </row>
    <row r="19" spans="2:9" ht="13.2">
      <c r="B19" s="9"/>
      <c r="C19" s="9" t="s">
        <v>48</v>
      </c>
      <c r="D19" s="6">
        <v>2023</v>
      </c>
      <c r="E19" t="s">
        <v>47</v>
      </c>
      <c r="F19" s="9" t="s">
        <v>27</v>
      </c>
      <c r="G19" s="22" t="s">
        <v>44</v>
      </c>
      <c r="H19" s="14"/>
      <c r="I19" s="14"/>
    </row>
    <row r="20" spans="2:9" ht="13.2">
      <c r="B20" s="9"/>
      <c r="C20" s="9" t="s">
        <v>48</v>
      </c>
      <c r="D20" s="6">
        <v>2024</v>
      </c>
      <c r="E20" t="s">
        <v>47</v>
      </c>
      <c r="F20" s="9" t="s">
        <v>27</v>
      </c>
      <c r="G20" s="22" t="s">
        <v>44</v>
      </c>
      <c r="H20" s="14"/>
      <c r="I20" s="14"/>
    </row>
    <row r="21" spans="2:9" ht="13.2">
      <c r="B21" s="9"/>
      <c r="C21" s="9" t="s">
        <v>48</v>
      </c>
      <c r="D21" s="6">
        <v>2025</v>
      </c>
      <c r="E21" t="s">
        <v>47</v>
      </c>
      <c r="F21" s="9" t="s">
        <v>27</v>
      </c>
      <c r="G21" s="22" t="s">
        <v>44</v>
      </c>
      <c r="H21" s="14"/>
      <c r="I21" s="14"/>
    </row>
    <row r="22" spans="2:9" ht="13.2">
      <c r="B22" s="9"/>
      <c r="C22" s="9" t="s">
        <v>48</v>
      </c>
      <c r="D22" s="6">
        <v>2026</v>
      </c>
      <c r="E22" t="s">
        <v>47</v>
      </c>
      <c r="F22" s="9" t="s">
        <v>27</v>
      </c>
      <c r="G22" s="22" t="s">
        <v>44</v>
      </c>
      <c r="H22" s="14"/>
      <c r="I22" s="14"/>
    </row>
    <row r="23" spans="2:9" ht="13.2">
      <c r="B23" s="9"/>
      <c r="C23" s="9" t="s">
        <v>48</v>
      </c>
      <c r="D23" s="6">
        <v>2027</v>
      </c>
      <c r="E23" t="s">
        <v>47</v>
      </c>
      <c r="F23" s="9" t="s">
        <v>27</v>
      </c>
      <c r="G23" s="22" t="s">
        <v>44</v>
      </c>
      <c r="H23" s="14"/>
      <c r="I23" s="14"/>
    </row>
    <row r="24" spans="2:9" ht="13.2">
      <c r="B24" s="9"/>
      <c r="C24" s="9" t="s">
        <v>48</v>
      </c>
      <c r="D24" s="6">
        <v>2028</v>
      </c>
      <c r="E24" t="s">
        <v>47</v>
      </c>
      <c r="F24" s="9" t="s">
        <v>27</v>
      </c>
      <c r="G24" s="22" t="s">
        <v>44</v>
      </c>
      <c r="H24" s="14"/>
      <c r="I24" s="14"/>
    </row>
    <row r="25" spans="2:9" ht="13.2">
      <c r="B25" s="9"/>
      <c r="C25" s="9" t="s">
        <v>48</v>
      </c>
      <c r="D25" s="6">
        <v>2029</v>
      </c>
      <c r="E25" t="s">
        <v>47</v>
      </c>
      <c r="F25" s="9" t="s">
        <v>27</v>
      </c>
      <c r="G25" s="22" t="s">
        <v>44</v>
      </c>
      <c r="H25" s="14"/>
      <c r="I25" s="14"/>
    </row>
    <row r="26" spans="2:9" ht="13.2">
      <c r="B26" s="9"/>
      <c r="C26" s="9" t="s">
        <v>48</v>
      </c>
      <c r="D26" s="6">
        <v>2030</v>
      </c>
      <c r="E26" t="s">
        <v>47</v>
      </c>
      <c r="F26" s="9" t="s">
        <v>27</v>
      </c>
      <c r="G26" s="22" t="s">
        <v>44</v>
      </c>
      <c r="H26" s="14"/>
      <c r="I26" s="14"/>
    </row>
    <row r="27" spans="2:9" ht="13.2">
      <c r="B27" s="9"/>
      <c r="C27" s="9" t="s">
        <v>48</v>
      </c>
      <c r="D27" s="6">
        <v>2031</v>
      </c>
      <c r="E27" t="s">
        <v>47</v>
      </c>
      <c r="F27" s="9" t="s">
        <v>27</v>
      </c>
      <c r="G27" s="22" t="s">
        <v>44</v>
      </c>
      <c r="H27" s="14"/>
      <c r="I27" s="14"/>
    </row>
    <row r="28" spans="2:9" ht="13.2">
      <c r="B28" s="9"/>
      <c r="C28" s="9" t="s">
        <v>48</v>
      </c>
      <c r="D28" s="6">
        <v>2032</v>
      </c>
      <c r="E28" t="s">
        <v>47</v>
      </c>
      <c r="F28" s="9" t="s">
        <v>27</v>
      </c>
      <c r="G28" s="22" t="s">
        <v>44</v>
      </c>
      <c r="H28" s="14"/>
      <c r="I28" s="14"/>
    </row>
    <row r="29" spans="2:9" ht="13.2">
      <c r="B29" s="9"/>
      <c r="C29" s="9" t="s">
        <v>48</v>
      </c>
      <c r="D29" s="6">
        <v>2033</v>
      </c>
      <c r="E29" t="s">
        <v>47</v>
      </c>
      <c r="F29" s="9" t="s">
        <v>27</v>
      </c>
      <c r="G29" s="22" t="s">
        <v>44</v>
      </c>
      <c r="H29" s="14"/>
      <c r="I29" s="14"/>
    </row>
    <row r="30" spans="2:9" ht="13.2">
      <c r="B30" s="9"/>
      <c r="C30" s="9" t="s">
        <v>48</v>
      </c>
      <c r="D30" s="6">
        <v>2034</v>
      </c>
      <c r="E30" t="s">
        <v>47</v>
      </c>
      <c r="F30" s="9" t="s">
        <v>27</v>
      </c>
      <c r="G30" s="22" t="s">
        <v>44</v>
      </c>
      <c r="H30" s="14"/>
      <c r="I30" s="14"/>
    </row>
    <row r="31" spans="2:9" ht="13.2">
      <c r="B31" s="9"/>
      <c r="C31" s="9" t="s">
        <v>48</v>
      </c>
      <c r="D31" s="6">
        <v>2035</v>
      </c>
      <c r="E31" t="s">
        <v>47</v>
      </c>
      <c r="F31" s="9" t="s">
        <v>27</v>
      </c>
      <c r="G31" s="22" t="s">
        <v>44</v>
      </c>
      <c r="H31" s="14"/>
      <c r="I31" s="14"/>
    </row>
    <row r="32" spans="2:9" ht="13.2">
      <c r="B32" s="9"/>
      <c r="C32" s="9" t="s">
        <v>48</v>
      </c>
      <c r="D32" s="6">
        <v>2036</v>
      </c>
      <c r="E32" t="s">
        <v>47</v>
      </c>
      <c r="F32" s="9" t="s">
        <v>27</v>
      </c>
      <c r="G32" s="22" t="s">
        <v>44</v>
      </c>
      <c r="H32" s="14"/>
      <c r="I32" s="14"/>
    </row>
    <row r="33" spans="2:9" ht="13.2">
      <c r="B33" s="9"/>
      <c r="C33" s="9" t="s">
        <v>48</v>
      </c>
      <c r="D33" s="6">
        <v>2037</v>
      </c>
      <c r="E33" t="s">
        <v>47</v>
      </c>
      <c r="F33" s="9" t="s">
        <v>27</v>
      </c>
      <c r="G33" s="22" t="s">
        <v>44</v>
      </c>
      <c r="H33" s="14"/>
      <c r="I33" s="14"/>
    </row>
    <row r="34" spans="2:9" ht="13.2">
      <c r="B34" s="9"/>
      <c r="C34" s="9" t="s">
        <v>48</v>
      </c>
      <c r="D34" s="6">
        <v>2038</v>
      </c>
      <c r="E34" t="s">
        <v>47</v>
      </c>
      <c r="F34" s="9" t="s">
        <v>27</v>
      </c>
      <c r="G34" s="22" t="s">
        <v>44</v>
      </c>
      <c r="H34" s="14"/>
      <c r="I34" s="14"/>
    </row>
    <row r="35" spans="2:9" ht="13.2">
      <c r="B35" s="9"/>
      <c r="C35" s="9" t="s">
        <v>48</v>
      </c>
      <c r="D35" s="6">
        <v>2039</v>
      </c>
      <c r="E35" t="s">
        <v>47</v>
      </c>
      <c r="F35" s="9" t="s">
        <v>27</v>
      </c>
      <c r="G35" s="22" t="s">
        <v>44</v>
      </c>
      <c r="H35" s="14"/>
      <c r="I35" s="14"/>
    </row>
    <row r="36" spans="2:9" ht="13.2">
      <c r="B36" s="9"/>
      <c r="C36" s="9" t="s">
        <v>48</v>
      </c>
      <c r="D36" s="6">
        <v>2040</v>
      </c>
      <c r="E36" t="s">
        <v>47</v>
      </c>
      <c r="F36" s="9" t="s">
        <v>27</v>
      </c>
      <c r="G36" s="22" t="s">
        <v>44</v>
      </c>
      <c r="H36" s="14"/>
      <c r="I36" s="14"/>
    </row>
    <row r="37" spans="2:9" ht="13.2">
      <c r="B37" s="9"/>
      <c r="C37" s="9" t="s">
        <v>48</v>
      </c>
      <c r="D37" s="6">
        <v>2041</v>
      </c>
      <c r="E37" t="s">
        <v>47</v>
      </c>
      <c r="F37" s="9" t="s">
        <v>27</v>
      </c>
      <c r="G37" s="22" t="s">
        <v>44</v>
      </c>
      <c r="H37" s="14"/>
      <c r="I37" s="14"/>
    </row>
    <row r="38" spans="2:9" ht="13.2">
      <c r="B38" s="9"/>
      <c r="C38" s="9" t="s">
        <v>48</v>
      </c>
      <c r="D38" s="6">
        <v>2042</v>
      </c>
      <c r="E38" t="s">
        <v>47</v>
      </c>
      <c r="F38" s="9" t="s">
        <v>27</v>
      </c>
      <c r="G38" s="22" t="s">
        <v>44</v>
      </c>
      <c r="H38" s="14"/>
      <c r="I38" s="14"/>
    </row>
    <row r="39" spans="2:9" ht="13.2">
      <c r="B39" s="9"/>
      <c r="C39" s="9" t="s">
        <v>48</v>
      </c>
      <c r="D39" s="6">
        <v>2043</v>
      </c>
      <c r="E39" t="s">
        <v>47</v>
      </c>
      <c r="F39" s="9" t="s">
        <v>27</v>
      </c>
      <c r="G39" s="22" t="s">
        <v>44</v>
      </c>
      <c r="H39" s="14"/>
      <c r="I39" s="14"/>
    </row>
    <row r="40" spans="2:9" ht="13.2">
      <c r="B40" s="9"/>
      <c r="C40" s="9" t="s">
        <v>48</v>
      </c>
      <c r="D40" s="6">
        <v>2044</v>
      </c>
      <c r="E40" t="s">
        <v>47</v>
      </c>
      <c r="F40" s="9" t="s">
        <v>27</v>
      </c>
      <c r="G40" s="22" t="s">
        <v>44</v>
      </c>
      <c r="H40" s="14"/>
      <c r="I40" s="14"/>
    </row>
    <row r="41" spans="2:9" ht="13.2">
      <c r="B41" s="9"/>
      <c r="C41" s="9" t="s">
        <v>48</v>
      </c>
      <c r="D41" s="6">
        <v>2045</v>
      </c>
      <c r="E41" t="s">
        <v>47</v>
      </c>
      <c r="F41" s="9" t="s">
        <v>27</v>
      </c>
      <c r="G41" s="22" t="s">
        <v>44</v>
      </c>
      <c r="H41" s="14"/>
      <c r="I41" s="14"/>
    </row>
    <row r="42" spans="2:9" ht="13.2">
      <c r="B42" s="9"/>
      <c r="C42" s="9" t="s">
        <v>48</v>
      </c>
      <c r="D42" s="6">
        <v>2046</v>
      </c>
      <c r="E42" t="s">
        <v>47</v>
      </c>
      <c r="F42" s="9" t="s">
        <v>27</v>
      </c>
      <c r="G42" s="22" t="s">
        <v>44</v>
      </c>
      <c r="H42" s="14"/>
      <c r="I42" s="14"/>
    </row>
    <row r="43" spans="2:9" ht="13.2">
      <c r="B43" s="9"/>
      <c r="C43" s="9" t="s">
        <v>48</v>
      </c>
      <c r="D43" s="6">
        <v>2047</v>
      </c>
      <c r="E43" t="s">
        <v>47</v>
      </c>
      <c r="F43" s="9" t="s">
        <v>27</v>
      </c>
      <c r="G43" s="22" t="s">
        <v>44</v>
      </c>
      <c r="H43" s="14"/>
      <c r="I43" s="14"/>
    </row>
    <row r="44" spans="2:9" ht="13.2">
      <c r="B44" s="9"/>
      <c r="C44" s="9" t="s">
        <v>48</v>
      </c>
      <c r="D44" s="6">
        <v>2048</v>
      </c>
      <c r="E44" t="s">
        <v>47</v>
      </c>
      <c r="F44" s="9" t="s">
        <v>27</v>
      </c>
      <c r="G44" s="22" t="s">
        <v>44</v>
      </c>
      <c r="H44" s="14"/>
      <c r="I44" s="14"/>
    </row>
    <row r="45" spans="2:9" ht="13.2">
      <c r="B45" s="9"/>
      <c r="C45" s="9" t="s">
        <v>48</v>
      </c>
      <c r="D45" s="6">
        <v>2049</v>
      </c>
      <c r="E45" t="s">
        <v>47</v>
      </c>
      <c r="F45" s="9" t="s">
        <v>27</v>
      </c>
      <c r="G45" s="22" t="s">
        <v>44</v>
      </c>
      <c r="H45" s="14"/>
      <c r="I45" s="14"/>
    </row>
    <row r="46" spans="2:9" ht="13.2">
      <c r="B46" s="7"/>
      <c r="C46" s="7" t="s">
        <v>48</v>
      </c>
      <c r="D46" s="8">
        <v>2050</v>
      </c>
      <c r="E46" s="7" t="s">
        <v>47</v>
      </c>
      <c r="F46" s="7" t="s">
        <v>27</v>
      </c>
      <c r="G46" s="23" t="s">
        <v>44</v>
      </c>
      <c r="H46" s="21"/>
      <c r="I46" s="19"/>
    </row>
    <row r="47" spans="2:9">
      <c r="D47" s="6"/>
      <c r="F47" s="9"/>
      <c r="G47" s="9"/>
      <c r="H47" s="14"/>
      <c r="I47" s="14"/>
    </row>
    <row r="48" spans="2:9">
      <c r="D48" s="6"/>
      <c r="F48" s="9"/>
      <c r="G48" s="9"/>
      <c r="H48" s="14"/>
      <c r="I48" s="14"/>
    </row>
    <row r="49" spans="2:9">
      <c r="D49" s="6"/>
      <c r="F49" s="9"/>
      <c r="G49" s="9"/>
      <c r="H49" s="14"/>
      <c r="I49" s="14"/>
    </row>
    <row r="50" spans="2:9">
      <c r="D50" s="6"/>
      <c r="F50" s="9"/>
      <c r="G50" s="9"/>
      <c r="H50" s="14"/>
      <c r="I50" s="14"/>
    </row>
    <row r="51" spans="2:9">
      <c r="B51" s="9"/>
      <c r="C51" s="9"/>
      <c r="D51" s="6"/>
      <c r="E51" s="9"/>
      <c r="F51" s="9"/>
      <c r="G51" s="9"/>
      <c r="H51" s="14"/>
      <c r="I51" s="14"/>
    </row>
    <row r="52" spans="2:9">
      <c r="B52" s="9"/>
      <c r="C52" s="9"/>
      <c r="D52" s="6"/>
      <c r="E52" s="9"/>
      <c r="F52" s="9"/>
      <c r="G52" s="9"/>
      <c r="H52" s="14"/>
      <c r="I52" s="14"/>
    </row>
    <row r="53" spans="2:9">
      <c r="B53" s="9"/>
      <c r="C53" s="9"/>
      <c r="D53" s="6"/>
      <c r="E53" s="9"/>
      <c r="F53" s="9"/>
      <c r="G53" s="9"/>
      <c r="H53" s="14"/>
      <c r="I53" s="14"/>
    </row>
    <row r="54" spans="2:9">
      <c r="B54" s="9"/>
      <c r="C54" s="9"/>
      <c r="D54" s="6"/>
      <c r="E54" s="9"/>
      <c r="F54" s="9"/>
      <c r="G54" s="9"/>
      <c r="H54" s="14"/>
      <c r="I54" s="14"/>
    </row>
    <row r="55" spans="2:9">
      <c r="B55" s="9"/>
      <c r="C55" s="9"/>
      <c r="D55" s="6"/>
      <c r="E55" s="9"/>
      <c r="F55" s="9"/>
      <c r="G55" s="9"/>
      <c r="H55" s="14"/>
      <c r="I55" s="14"/>
    </row>
    <row r="56" spans="2:9">
      <c r="B56" s="9"/>
      <c r="C56" s="9"/>
      <c r="D56" s="6"/>
      <c r="E56" s="9"/>
      <c r="F56" s="9"/>
      <c r="G56" s="9"/>
      <c r="H56" s="14"/>
      <c r="I56" s="14"/>
    </row>
    <row r="57" spans="2:9">
      <c r="B57" s="9"/>
      <c r="C57" s="9"/>
      <c r="D57" s="6"/>
      <c r="E57" s="9"/>
      <c r="F57" s="9"/>
      <c r="G57" s="9"/>
      <c r="H57" s="14"/>
      <c r="I57" s="14"/>
    </row>
    <row r="58" spans="2:9">
      <c r="B58" s="9"/>
      <c r="C58" s="9"/>
      <c r="D58" s="6"/>
      <c r="E58" s="9"/>
      <c r="F58" s="9"/>
      <c r="G58" s="9"/>
      <c r="H58" s="14"/>
      <c r="I58" s="14"/>
    </row>
    <row r="59" spans="2:9">
      <c r="B59" s="9"/>
      <c r="C59" s="9"/>
      <c r="D59" s="6"/>
      <c r="E59" s="9"/>
      <c r="F59" s="9"/>
      <c r="G59" s="9"/>
      <c r="H59" s="14"/>
      <c r="I59" s="14"/>
    </row>
    <row r="60" spans="2:9">
      <c r="B60" s="9"/>
      <c r="C60" s="9"/>
      <c r="D60" s="6"/>
      <c r="E60" s="9"/>
      <c r="F60" s="9"/>
      <c r="G60" s="9"/>
      <c r="H60" s="14"/>
      <c r="I60" s="14"/>
    </row>
    <row r="61" spans="2:9">
      <c r="B61" s="9"/>
      <c r="C61" s="9"/>
      <c r="D61" s="6"/>
      <c r="E61" s="9"/>
      <c r="F61" s="9"/>
      <c r="G61" s="9"/>
      <c r="H61" s="14"/>
      <c r="I61" s="14"/>
    </row>
    <row r="62" spans="2:9">
      <c r="D62" s="6"/>
      <c r="F62" s="9"/>
      <c r="G62" s="9"/>
      <c r="H62" s="14"/>
      <c r="I62" s="14"/>
    </row>
    <row r="63" spans="2:9">
      <c r="D63" s="6"/>
      <c r="F63" s="9"/>
      <c r="G63" s="9"/>
      <c r="H63" s="14"/>
      <c r="I63" s="14"/>
    </row>
    <row r="64" spans="2:9">
      <c r="D64" s="6"/>
      <c r="F64" s="9"/>
      <c r="G64" s="9"/>
      <c r="H64" s="14"/>
      <c r="I64" s="14"/>
    </row>
    <row r="65" spans="4:9">
      <c r="D65" s="6"/>
      <c r="F65" s="9"/>
      <c r="G65" s="9"/>
      <c r="H65" s="14"/>
      <c r="I65" s="14"/>
    </row>
    <row r="66" spans="4:9">
      <c r="D66" s="6"/>
      <c r="F66" s="9"/>
      <c r="G66" s="9"/>
      <c r="H66" s="14"/>
      <c r="I66" s="14"/>
    </row>
    <row r="67" spans="4:9">
      <c r="D67" s="6"/>
      <c r="F67" s="9"/>
      <c r="G67" s="9"/>
      <c r="H67" s="14"/>
      <c r="I67" s="14"/>
    </row>
    <row r="68" spans="4:9">
      <c r="D68" s="6"/>
      <c r="F68" s="9"/>
      <c r="G68" s="9"/>
      <c r="H68" s="14"/>
      <c r="I68" s="14"/>
    </row>
    <row r="69" spans="4:9">
      <c r="D69" s="6"/>
      <c r="F69" s="9"/>
      <c r="G69" s="9"/>
      <c r="H69" s="14"/>
      <c r="I69" s="14"/>
    </row>
    <row r="70" spans="4:9">
      <c r="D70" s="6"/>
      <c r="F70" s="9"/>
      <c r="G70" s="9"/>
      <c r="H70" s="14"/>
      <c r="I70" s="14"/>
    </row>
    <row r="71" spans="4:9">
      <c r="D71" s="6"/>
      <c r="F71" s="9"/>
      <c r="G71" s="9"/>
      <c r="H71" s="14"/>
      <c r="I71" s="14"/>
    </row>
    <row r="72" spans="4:9">
      <c r="D72" s="6"/>
      <c r="F72" s="9"/>
      <c r="G72" s="9"/>
      <c r="H72" s="14"/>
      <c r="I72" s="14"/>
    </row>
    <row r="73" spans="4:9">
      <c r="D73" s="6"/>
      <c r="F73" s="9"/>
      <c r="G73" s="9"/>
      <c r="H73" s="14"/>
      <c r="I73" s="14"/>
    </row>
    <row r="74" spans="4:9">
      <c r="D74" s="6"/>
      <c r="F74" s="9"/>
      <c r="G74" s="9"/>
      <c r="H74" s="14"/>
      <c r="I74" s="14"/>
    </row>
    <row r="75" spans="4:9">
      <c r="D75" s="6"/>
      <c r="F75" s="9"/>
      <c r="G75" s="9"/>
      <c r="H75" s="14"/>
      <c r="I75" s="14"/>
    </row>
    <row r="76" spans="4:9">
      <c r="D76" s="6"/>
      <c r="F76" s="9"/>
      <c r="G76" s="9"/>
      <c r="H76" s="14"/>
      <c r="I76" s="14"/>
    </row>
    <row r="77" spans="4:9">
      <c r="D77" s="6"/>
      <c r="F77" s="9"/>
      <c r="G77" s="9"/>
      <c r="H77" s="14"/>
      <c r="I77" s="14"/>
    </row>
    <row r="78" spans="4:9">
      <c r="D78" s="6"/>
      <c r="F78" s="9"/>
      <c r="G78" s="9"/>
      <c r="H78" s="14"/>
      <c r="I78" s="14"/>
    </row>
    <row r="79" spans="4:9">
      <c r="D79" s="6"/>
      <c r="F79" s="9"/>
      <c r="G79" s="9"/>
      <c r="H79" s="14"/>
      <c r="I79" s="14"/>
    </row>
    <row r="80" spans="4:9">
      <c r="D80" s="6"/>
      <c r="F80" s="9"/>
      <c r="G80" s="9"/>
      <c r="H80" s="14"/>
      <c r="I80" s="14"/>
    </row>
    <row r="81" spans="2:9">
      <c r="D81" s="6"/>
      <c r="F81" s="9"/>
      <c r="G81" s="9"/>
      <c r="H81" s="14"/>
      <c r="I81" s="14"/>
    </row>
    <row r="82" spans="2:9">
      <c r="D82" s="6"/>
      <c r="F82" s="9"/>
      <c r="G82" s="9"/>
      <c r="H82" s="14"/>
      <c r="I82" s="14"/>
    </row>
    <row r="83" spans="2:9">
      <c r="D83" s="6"/>
      <c r="F83" s="9"/>
      <c r="G83" s="9"/>
      <c r="H83" s="14"/>
      <c r="I83" s="14"/>
    </row>
    <row r="84" spans="2:9">
      <c r="D84" s="6"/>
      <c r="F84" s="9"/>
      <c r="G84" s="9"/>
      <c r="H84" s="14"/>
      <c r="I84" s="14"/>
    </row>
    <row r="85" spans="2:9">
      <c r="D85" s="6"/>
      <c r="F85" s="9"/>
      <c r="G85" s="9"/>
      <c r="H85" s="14"/>
      <c r="I85" s="14"/>
    </row>
    <row r="86" spans="2:9">
      <c r="D86" s="6"/>
      <c r="F86" s="9"/>
      <c r="G86" s="9"/>
      <c r="H86" s="14"/>
      <c r="I86" s="14"/>
    </row>
    <row r="87" spans="2:9">
      <c r="B87" s="7"/>
      <c r="C87" s="7"/>
      <c r="D87" s="6"/>
      <c r="E87" s="7"/>
      <c r="F87" s="7"/>
      <c r="G87" s="9"/>
      <c r="H87" s="14"/>
      <c r="I87" s="14"/>
    </row>
    <row r="88" spans="2:9">
      <c r="D88" s="6"/>
      <c r="H88" s="14"/>
      <c r="I88" s="14"/>
    </row>
    <row r="89" spans="2:9">
      <c r="D89" s="6"/>
      <c r="H89" s="14"/>
      <c r="I89" s="14"/>
    </row>
    <row r="90" spans="2:9">
      <c r="D90" s="6"/>
      <c r="F90" s="9"/>
      <c r="G90" s="9"/>
      <c r="H90" s="14"/>
      <c r="I90" s="14"/>
    </row>
    <row r="91" spans="2:9">
      <c r="D91" s="6"/>
      <c r="F91" s="9"/>
      <c r="G91" s="9"/>
      <c r="H91" s="14"/>
      <c r="I91" s="14"/>
    </row>
    <row r="92" spans="2:9">
      <c r="D92" s="6"/>
      <c r="F92" s="9"/>
      <c r="G92" s="9"/>
      <c r="H92" s="14"/>
      <c r="I92" s="14"/>
    </row>
    <row r="93" spans="2:9">
      <c r="D93" s="6"/>
      <c r="F93" s="9"/>
      <c r="G93" s="9"/>
      <c r="H93" s="14"/>
      <c r="I93" s="14"/>
    </row>
    <row r="94" spans="2:9">
      <c r="D94" s="6"/>
      <c r="F94" s="9"/>
      <c r="G94" s="9"/>
      <c r="H94" s="14"/>
      <c r="I94" s="14"/>
    </row>
    <row r="95" spans="2:9">
      <c r="D95" s="6"/>
      <c r="F95" s="9"/>
      <c r="G95" s="9"/>
      <c r="H95" s="14"/>
      <c r="I95" s="14"/>
    </row>
    <row r="96" spans="2:9">
      <c r="D96" s="6"/>
      <c r="F96" s="9"/>
      <c r="G96" s="9"/>
      <c r="H96" s="14"/>
      <c r="I96" s="14"/>
    </row>
    <row r="97" spans="4:9">
      <c r="D97" s="6"/>
      <c r="F97" s="9"/>
      <c r="G97" s="9"/>
      <c r="H97" s="14"/>
      <c r="I97" s="14"/>
    </row>
    <row r="98" spans="4:9">
      <c r="D98" s="6"/>
      <c r="F98" s="9"/>
      <c r="G98" s="9"/>
      <c r="H98" s="14"/>
      <c r="I98" s="14"/>
    </row>
    <row r="99" spans="4:9">
      <c r="D99" s="6"/>
      <c r="F99" s="9"/>
      <c r="G99" s="9"/>
      <c r="H99" s="14"/>
      <c r="I99" s="14"/>
    </row>
    <row r="100" spans="4:9">
      <c r="D100" s="6"/>
      <c r="F100" s="9"/>
      <c r="G100" s="9"/>
      <c r="H100" s="14"/>
      <c r="I100" s="14"/>
    </row>
    <row r="101" spans="4:9">
      <c r="D101" s="6"/>
      <c r="F101" s="9"/>
      <c r="G101" s="9"/>
      <c r="H101" s="14"/>
      <c r="I101" s="14"/>
    </row>
    <row r="102" spans="4:9">
      <c r="D102" s="6"/>
      <c r="F102" s="9"/>
      <c r="G102" s="9"/>
      <c r="H102" s="14"/>
      <c r="I102" s="14"/>
    </row>
    <row r="103" spans="4:9">
      <c r="D103" s="6"/>
      <c r="F103" s="9"/>
      <c r="G103" s="9"/>
      <c r="H103" s="14"/>
      <c r="I103" s="14"/>
    </row>
    <row r="104" spans="4:9">
      <c r="D104" s="6"/>
      <c r="F104" s="9"/>
      <c r="G104" s="9"/>
      <c r="H104" s="14"/>
      <c r="I104" s="14"/>
    </row>
    <row r="105" spans="4:9">
      <c r="D105" s="6"/>
      <c r="F105" s="9"/>
      <c r="G105" s="9"/>
      <c r="H105" s="14"/>
      <c r="I105" s="14"/>
    </row>
    <row r="106" spans="4:9">
      <c r="D106" s="6"/>
      <c r="F106" s="9"/>
      <c r="G106" s="9"/>
      <c r="H106" s="14"/>
      <c r="I106" s="14"/>
    </row>
    <row r="107" spans="4:9">
      <c r="D107" s="6"/>
      <c r="F107" s="9"/>
      <c r="G107" s="9"/>
      <c r="H107" s="14"/>
      <c r="I107" s="14"/>
    </row>
    <row r="108" spans="4:9">
      <c r="D108" s="6"/>
      <c r="F108" s="9"/>
      <c r="G108" s="9"/>
      <c r="H108" s="14"/>
      <c r="I108" s="14"/>
    </row>
    <row r="109" spans="4:9">
      <c r="D109" s="6"/>
      <c r="F109" s="9"/>
      <c r="G109" s="9"/>
      <c r="H109" s="14"/>
      <c r="I109" s="14"/>
    </row>
    <row r="110" spans="4:9">
      <c r="D110" s="6"/>
      <c r="F110" s="9"/>
      <c r="G110" s="9"/>
      <c r="H110" s="14"/>
      <c r="I110" s="14"/>
    </row>
    <row r="111" spans="4:9">
      <c r="D111" s="6"/>
      <c r="F111" s="9"/>
      <c r="G111" s="9"/>
      <c r="H111" s="14"/>
      <c r="I111" s="14"/>
    </row>
    <row r="112" spans="4:9">
      <c r="D112" s="6"/>
      <c r="F112" s="9"/>
      <c r="G112" s="9"/>
      <c r="H112" s="14"/>
      <c r="I112" s="14"/>
    </row>
    <row r="113" spans="2:9">
      <c r="D113" s="6"/>
      <c r="F113" s="9"/>
      <c r="G113" s="9"/>
      <c r="H113" s="14"/>
      <c r="I113" s="14"/>
    </row>
    <row r="114" spans="2:9">
      <c r="D114" s="6"/>
      <c r="F114" s="9"/>
      <c r="G114" s="9"/>
      <c r="H114" s="14"/>
      <c r="I114" s="14"/>
    </row>
    <row r="115" spans="2:9">
      <c r="D115" s="6"/>
      <c r="F115" s="9"/>
      <c r="G115" s="9"/>
      <c r="H115" s="14"/>
      <c r="I115" s="14"/>
    </row>
    <row r="116" spans="2:9">
      <c r="D116" s="6"/>
      <c r="F116" s="9"/>
      <c r="G116" s="9"/>
      <c r="H116" s="14"/>
      <c r="I116" s="14"/>
    </row>
    <row r="117" spans="2:9">
      <c r="D117" s="6"/>
      <c r="F117" s="9"/>
      <c r="G117" s="9"/>
      <c r="H117" s="14"/>
      <c r="I117" s="14"/>
    </row>
    <row r="118" spans="2:9">
      <c r="D118" s="6"/>
      <c r="F118" s="9"/>
      <c r="G118" s="9"/>
      <c r="H118" s="14"/>
      <c r="I118" s="14"/>
    </row>
    <row r="119" spans="2:9">
      <c r="D119" s="6"/>
      <c r="F119" s="9"/>
      <c r="G119" s="9"/>
      <c r="H119" s="14"/>
      <c r="I119" s="14"/>
    </row>
    <row r="120" spans="2:9">
      <c r="D120" s="6"/>
      <c r="F120" s="9"/>
      <c r="G120" s="9"/>
      <c r="H120" s="14"/>
      <c r="I120" s="14"/>
    </row>
    <row r="121" spans="2:9">
      <c r="D121" s="6"/>
      <c r="F121" s="9"/>
      <c r="G121" s="9"/>
      <c r="H121" s="14"/>
      <c r="I121" s="14"/>
    </row>
    <row r="122" spans="2:9">
      <c r="D122" s="6"/>
      <c r="F122" s="9"/>
      <c r="G122" s="9"/>
      <c r="H122" s="14"/>
      <c r="I122" s="14"/>
    </row>
    <row r="123" spans="2:9">
      <c r="D123" s="6"/>
      <c r="F123" s="9"/>
      <c r="G123" s="9"/>
      <c r="H123" s="14"/>
      <c r="I123" s="14"/>
    </row>
    <row r="124" spans="2:9">
      <c r="D124" s="6"/>
      <c r="F124" s="9"/>
      <c r="G124" s="9"/>
      <c r="H124" s="14"/>
      <c r="I124" s="14"/>
    </row>
    <row r="125" spans="2:9">
      <c r="D125" s="6"/>
      <c r="F125" s="9"/>
      <c r="G125" s="9"/>
      <c r="H125" s="14"/>
      <c r="I125" s="14"/>
    </row>
    <row r="126" spans="2:9">
      <c r="D126" s="6"/>
      <c r="F126" s="9"/>
      <c r="G126" s="9"/>
      <c r="H126" s="14"/>
      <c r="I126" s="14"/>
    </row>
    <row r="127" spans="2:9">
      <c r="D127" s="6"/>
      <c r="F127" s="9"/>
      <c r="G127" s="9"/>
      <c r="H127" s="14"/>
      <c r="I127" s="14"/>
    </row>
    <row r="128" spans="2:9">
      <c r="B128" s="7"/>
      <c r="C128" s="7"/>
      <c r="D128" s="8"/>
      <c r="E128" s="7"/>
      <c r="F128" s="7"/>
      <c r="G128" s="7"/>
      <c r="H128" s="21"/>
      <c r="I128" s="19"/>
    </row>
    <row r="129" spans="2:9">
      <c r="B129" s="9"/>
      <c r="C129" s="9"/>
      <c r="D129" s="20"/>
      <c r="E129" s="10"/>
      <c r="F129" s="9"/>
      <c r="G129" s="9"/>
      <c r="H129" s="19"/>
      <c r="I129" s="19"/>
    </row>
    <row r="130" spans="2:9">
      <c r="B130" s="9"/>
      <c r="C130" s="9"/>
      <c r="D130" s="20"/>
      <c r="E130" s="10"/>
      <c r="F130" s="9"/>
      <c r="G130" s="9"/>
      <c r="H130" s="19"/>
      <c r="I130" s="19"/>
    </row>
    <row r="131" spans="2:9">
      <c r="B131" s="9"/>
      <c r="C131" s="9"/>
      <c r="D131" s="20"/>
      <c r="E131" s="10"/>
      <c r="F131" s="9"/>
      <c r="G131" s="9"/>
      <c r="H131" s="19"/>
      <c r="I131" s="19"/>
    </row>
    <row r="132" spans="2:9">
      <c r="B132" s="9"/>
      <c r="C132" s="9"/>
      <c r="D132" s="20"/>
      <c r="E132" s="10"/>
      <c r="F132" s="9"/>
      <c r="G132" s="9"/>
      <c r="H132" s="19"/>
      <c r="I132" s="19"/>
    </row>
    <row r="133" spans="2:9">
      <c r="B133" s="9"/>
      <c r="C133" s="9"/>
      <c r="D133" s="20"/>
      <c r="E133" s="10"/>
      <c r="F133" s="9"/>
      <c r="G133" s="9"/>
      <c r="H133" s="19"/>
      <c r="I133" s="19"/>
    </row>
    <row r="134" spans="2:9">
      <c r="B134" s="9"/>
      <c r="C134" s="9"/>
      <c r="D134" s="20"/>
      <c r="E134" s="10"/>
      <c r="F134" s="9"/>
      <c r="G134" s="9"/>
      <c r="H134" s="19"/>
      <c r="I134" s="19"/>
    </row>
    <row r="135" spans="2:9">
      <c r="B135" s="9"/>
      <c r="C135" s="9"/>
      <c r="D135" s="20"/>
      <c r="E135" s="10"/>
      <c r="F135" s="9"/>
      <c r="G135" s="9"/>
      <c r="H135" s="19"/>
      <c r="I135" s="19"/>
    </row>
    <row r="136" spans="2:9">
      <c r="B136" s="9"/>
      <c r="C136" s="9"/>
      <c r="D136" s="20"/>
      <c r="E136" s="10"/>
      <c r="F136" s="9"/>
      <c r="G136" s="9"/>
      <c r="H136" s="19"/>
      <c r="I136" s="19"/>
    </row>
    <row r="137" spans="2:9">
      <c r="B137" s="9"/>
      <c r="C137" s="9"/>
      <c r="D137" s="20"/>
      <c r="E137" s="10"/>
      <c r="F137" s="9"/>
      <c r="G137" s="9"/>
      <c r="H137" s="19"/>
      <c r="I137" s="19"/>
    </row>
    <row r="138" spans="2:9">
      <c r="B138" s="9"/>
      <c r="C138" s="9"/>
      <c r="D138" s="20"/>
      <c r="E138" s="10"/>
      <c r="F138" s="9"/>
      <c r="G138" s="9"/>
      <c r="H138" s="19"/>
      <c r="I138" s="19"/>
    </row>
    <row r="139" spans="2:9">
      <c r="B139" s="9"/>
      <c r="C139" s="9"/>
      <c r="D139" s="20"/>
      <c r="E139" s="10"/>
      <c r="F139" s="9"/>
      <c r="G139" s="9"/>
      <c r="H139" s="19"/>
      <c r="I139" s="19"/>
    </row>
    <row r="140" spans="2:9">
      <c r="B140" s="9"/>
      <c r="C140" s="9"/>
      <c r="D140" s="20"/>
      <c r="E140" s="10"/>
      <c r="F140" s="9"/>
      <c r="G140" s="9"/>
      <c r="H140" s="19"/>
      <c r="I140" s="19"/>
    </row>
    <row r="141" spans="2:9">
      <c r="B141" s="9"/>
      <c r="C141" s="9"/>
      <c r="D141" s="20"/>
      <c r="E141" s="10"/>
      <c r="F141" s="9"/>
      <c r="G141" s="9"/>
      <c r="H141" s="19"/>
      <c r="I141" s="19"/>
    </row>
    <row r="142" spans="2:9">
      <c r="B142" s="9"/>
      <c r="C142" s="9"/>
      <c r="D142" s="20"/>
      <c r="E142" s="10"/>
      <c r="F142" s="9"/>
      <c r="G142" s="9"/>
      <c r="H142" s="19"/>
      <c r="I142" s="19"/>
    </row>
    <row r="143" spans="2:9">
      <c r="B143" s="9"/>
      <c r="C143" s="9"/>
      <c r="D143" s="20"/>
      <c r="E143" s="10"/>
      <c r="F143" s="9"/>
      <c r="G143" s="9"/>
      <c r="H143" s="19"/>
      <c r="I143" s="19"/>
    </row>
    <row r="144" spans="2:9">
      <c r="B144" s="9"/>
      <c r="C144" s="9"/>
      <c r="D144" s="20"/>
      <c r="E144" s="10"/>
      <c r="F144" s="9"/>
      <c r="G144" s="9"/>
      <c r="H144" s="19"/>
      <c r="I144" s="19"/>
    </row>
    <row r="145" spans="2:9">
      <c r="B145" s="9"/>
      <c r="C145" s="9"/>
      <c r="D145" s="20"/>
      <c r="E145" s="10"/>
      <c r="F145" s="9"/>
      <c r="G145" s="9"/>
      <c r="H145" s="19"/>
      <c r="I145" s="19"/>
    </row>
    <row r="146" spans="2:9">
      <c r="B146" s="9"/>
      <c r="C146" s="9"/>
      <c r="D146" s="20"/>
      <c r="E146" s="10"/>
      <c r="F146" s="9"/>
      <c r="G146" s="9"/>
      <c r="H146" s="19"/>
      <c r="I146" s="19"/>
    </row>
    <row r="147" spans="2:9">
      <c r="B147" s="9"/>
      <c r="C147" s="9"/>
      <c r="D147" s="20"/>
      <c r="E147" s="10"/>
      <c r="F147" s="9"/>
      <c r="G147" s="9"/>
      <c r="H147" s="19"/>
      <c r="I147" s="19"/>
    </row>
    <row r="148" spans="2:9">
      <c r="B148" s="9"/>
      <c r="C148" s="9"/>
      <c r="D148" s="20"/>
      <c r="E148" s="10"/>
      <c r="F148" s="9"/>
      <c r="G148" s="9"/>
      <c r="H148" s="19"/>
      <c r="I148" s="19"/>
    </row>
    <row r="149" spans="2:9">
      <c r="B149" s="9"/>
      <c r="C149" s="9"/>
      <c r="D149" s="20"/>
      <c r="E149" s="10"/>
      <c r="F149" s="9"/>
      <c r="G149" s="9"/>
      <c r="H149" s="19"/>
      <c r="I149" s="19"/>
    </row>
    <row r="150" spans="2:9">
      <c r="B150" s="9"/>
      <c r="C150" s="9"/>
      <c r="D150" s="20"/>
      <c r="E150" s="10"/>
      <c r="F150" s="9"/>
      <c r="G150" s="9"/>
      <c r="H150" s="19"/>
      <c r="I150" s="19"/>
    </row>
    <row r="151" spans="2:9">
      <c r="B151" s="9"/>
      <c r="C151" s="9"/>
      <c r="D151" s="20"/>
      <c r="E151" s="10"/>
      <c r="F151" s="9"/>
      <c r="G151" s="9"/>
      <c r="H151" s="19"/>
      <c r="I151" s="19"/>
    </row>
    <row r="152" spans="2:9">
      <c r="B152" s="9"/>
      <c r="C152" s="9"/>
      <c r="D152" s="20"/>
      <c r="E152" s="10"/>
      <c r="F152" s="9"/>
      <c r="G152" s="9"/>
      <c r="H152" s="19"/>
      <c r="I152" s="19"/>
    </row>
    <row r="153" spans="2:9">
      <c r="B153" s="9"/>
      <c r="C153" s="9"/>
      <c r="D153" s="20"/>
      <c r="E153" s="10"/>
      <c r="F153" s="9"/>
      <c r="G153" s="9"/>
      <c r="H153" s="19"/>
      <c r="I153" s="19"/>
    </row>
    <row r="154" spans="2:9">
      <c r="B154" s="9"/>
      <c r="C154" s="9"/>
      <c r="D154" s="20"/>
      <c r="E154" s="10"/>
      <c r="F154" s="9"/>
      <c r="G154" s="9"/>
      <c r="H154" s="19"/>
      <c r="I154" s="19"/>
    </row>
    <row r="155" spans="2:9">
      <c r="B155" s="9"/>
      <c r="C155" s="9"/>
      <c r="D155" s="20"/>
      <c r="E155" s="10"/>
      <c r="F155" s="9"/>
      <c r="G155" s="9"/>
      <c r="H155" s="19"/>
      <c r="I155" s="19"/>
    </row>
    <row r="156" spans="2:9">
      <c r="B156" s="9"/>
      <c r="C156" s="9"/>
      <c r="D156" s="20"/>
      <c r="E156" s="10"/>
      <c r="F156" s="9"/>
      <c r="G156" s="9"/>
      <c r="H156" s="19"/>
      <c r="I156" s="19"/>
    </row>
    <row r="157" spans="2:9">
      <c r="B157" s="9"/>
      <c r="C157" s="9"/>
      <c r="D157" s="20"/>
      <c r="E157" s="10"/>
      <c r="F157" s="9"/>
      <c r="G157" s="9"/>
      <c r="H157" s="19"/>
      <c r="I157" s="19"/>
    </row>
    <row r="158" spans="2:9">
      <c r="B158" s="9"/>
      <c r="C158" s="9"/>
      <c r="D158" s="20"/>
      <c r="E158" s="10"/>
      <c r="F158" s="9"/>
      <c r="G158" s="9"/>
      <c r="H158" s="19"/>
      <c r="I158" s="19"/>
    </row>
    <row r="159" spans="2:9">
      <c r="B159" s="9"/>
      <c r="C159" s="9"/>
      <c r="D159" s="20"/>
      <c r="E159" s="10"/>
      <c r="F159" s="9"/>
      <c r="G159" s="9"/>
      <c r="H159" s="19"/>
      <c r="I159" s="19"/>
    </row>
    <row r="160" spans="2:9">
      <c r="B160" s="9"/>
      <c r="C160" s="9"/>
      <c r="D160" s="20"/>
      <c r="E160" s="10"/>
      <c r="F160" s="9"/>
      <c r="G160" s="9"/>
      <c r="H160" s="19"/>
      <c r="I160" s="19"/>
    </row>
    <row r="161" spans="2:9">
      <c r="B161" s="9"/>
      <c r="C161" s="9"/>
      <c r="D161" s="20"/>
      <c r="E161" s="10"/>
      <c r="F161" s="9"/>
      <c r="G161" s="9"/>
      <c r="H161" s="19"/>
      <c r="I161" s="19"/>
    </row>
    <row r="162" spans="2:9">
      <c r="B162" s="9"/>
      <c r="C162" s="9"/>
      <c r="D162" s="20"/>
      <c r="E162" s="10"/>
      <c r="F162" s="9"/>
      <c r="G162" s="9"/>
      <c r="H162" s="19"/>
      <c r="I162" s="19"/>
    </row>
    <row r="163" spans="2:9">
      <c r="B163" s="9"/>
      <c r="C163" s="9"/>
      <c r="D163" s="20"/>
      <c r="E163" s="10"/>
      <c r="F163" s="9"/>
      <c r="G163" s="9"/>
      <c r="H163" s="19"/>
      <c r="I163" s="19"/>
    </row>
    <row r="164" spans="2:9">
      <c r="B164" s="9"/>
      <c r="C164" s="9"/>
      <c r="D164" s="20"/>
      <c r="E164" s="10"/>
      <c r="F164" s="9"/>
      <c r="G164" s="9"/>
      <c r="H164" s="19"/>
      <c r="I164" s="19"/>
    </row>
    <row r="165" spans="2:9">
      <c r="B165" s="9"/>
      <c r="C165" s="9"/>
      <c r="D165" s="20"/>
      <c r="E165" s="10"/>
      <c r="F165" s="9"/>
      <c r="G165" s="9"/>
      <c r="H165" s="19"/>
      <c r="I165" s="19"/>
    </row>
    <row r="166" spans="2:9">
      <c r="B166" s="9"/>
      <c r="C166" s="9"/>
      <c r="D166" s="20"/>
      <c r="E166" s="10"/>
      <c r="F166" s="9"/>
      <c r="G166" s="9"/>
      <c r="H166" s="19"/>
      <c r="I166" s="19"/>
    </row>
    <row r="167" spans="2:9">
      <c r="B167" s="9"/>
      <c r="C167" s="9"/>
      <c r="D167" s="20"/>
      <c r="E167" s="10"/>
      <c r="F167" s="9"/>
      <c r="G167" s="9"/>
      <c r="H167" s="19"/>
      <c r="I167" s="19"/>
    </row>
    <row r="168" spans="2:9">
      <c r="B168" s="9"/>
      <c r="C168" s="9"/>
      <c r="D168" s="20"/>
      <c r="E168" s="10"/>
      <c r="F168" s="9"/>
      <c r="G168" s="9"/>
      <c r="H168" s="19"/>
      <c r="I168" s="19"/>
    </row>
    <row r="169" spans="2:9">
      <c r="B169" s="9"/>
      <c r="C169" s="9"/>
      <c r="D169" s="20"/>
      <c r="E169" s="10"/>
      <c r="F169" s="9"/>
      <c r="G169" s="9"/>
      <c r="H169" s="19"/>
      <c r="I169" s="1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G23"/>
  <sheetViews>
    <sheetView workbookViewId="0">
      <selection activeCell="C26" sqref="C26"/>
    </sheetView>
  </sheetViews>
  <sheetFormatPr defaultColWidth="9.109375" defaultRowHeight="13.8"/>
  <cols>
    <col min="1" max="1" width="9.109375" style="55"/>
    <col min="2" max="2" width="39" style="55" customWidth="1"/>
    <col min="3" max="3" width="60.44140625" style="55" customWidth="1"/>
    <col min="4" max="16384" width="9.109375" style="55"/>
  </cols>
  <sheetData>
    <row r="1" spans="2:7" ht="18">
      <c r="B1" s="56" t="s">
        <v>14</v>
      </c>
    </row>
    <row r="3" spans="2:7" ht="14.4">
      <c r="B3" s="57" t="s">
        <v>194</v>
      </c>
      <c r="C3" s="58" t="s">
        <v>199</v>
      </c>
    </row>
    <row r="4" spans="2:7" ht="14.4">
      <c r="B4" s="57" t="s">
        <v>195</v>
      </c>
      <c r="C4" s="58"/>
    </row>
    <row r="5" spans="2:7" ht="14.4">
      <c r="B5" s="57"/>
      <c r="C5" s="58"/>
    </row>
    <row r="6" spans="2:7" ht="14.4">
      <c r="B6" s="57"/>
      <c r="C6" s="58"/>
    </row>
    <row r="7" spans="2:7" ht="14.4">
      <c r="B7" s="57"/>
    </row>
    <row r="8" spans="2:7" ht="14.4">
      <c r="B8" s="57" t="s">
        <v>197</v>
      </c>
      <c r="C8" s="55" t="s">
        <v>196</v>
      </c>
    </row>
    <row r="9" spans="2:7" ht="14.4">
      <c r="B9" s="57"/>
    </row>
    <row r="10" spans="2:7" ht="14.4">
      <c r="B10" s="59" t="s">
        <v>198</v>
      </c>
    </row>
    <row r="11" spans="2:7" ht="14.4">
      <c r="B11" s="57"/>
    </row>
    <row r="12" spans="2:7">
      <c r="B12" s="13" t="s">
        <v>12</v>
      </c>
      <c r="C12" s="13" t="s">
        <v>14</v>
      </c>
      <c r="D12" s="13" t="s">
        <v>16</v>
      </c>
      <c r="E12"/>
      <c r="F12" s="13" t="s">
        <v>19</v>
      </c>
      <c r="G12" s="13" t="s">
        <v>14</v>
      </c>
    </row>
    <row r="13" spans="2:7">
      <c r="B13" s="60" t="s">
        <v>92</v>
      </c>
      <c r="C13" s="48" t="s">
        <v>159</v>
      </c>
      <c r="D13" s="48" t="s">
        <v>160</v>
      </c>
      <c r="E13" s="48"/>
      <c r="F13" s="48"/>
      <c r="G13" s="48"/>
    </row>
    <row r="14" spans="2:7">
      <c r="B14" s="60" t="s">
        <v>20</v>
      </c>
      <c r="C14" t="s">
        <v>21</v>
      </c>
      <c r="D14" t="s">
        <v>22</v>
      </c>
      <c r="E14"/>
      <c r="F14" t="s">
        <v>1</v>
      </c>
      <c r="G14" t="s">
        <v>24</v>
      </c>
    </row>
    <row r="15" spans="2:7">
      <c r="B15" s="60" t="s">
        <v>200</v>
      </c>
      <c r="C15" t="s">
        <v>23</v>
      </c>
      <c r="D15" t="s">
        <v>22</v>
      </c>
      <c r="E15"/>
      <c r="F15" t="s">
        <v>7</v>
      </c>
      <c r="G15" t="s">
        <v>25</v>
      </c>
    </row>
    <row r="16" spans="2:7">
      <c r="B16" s="60" t="s">
        <v>201</v>
      </c>
      <c r="C16" t="s">
        <v>203</v>
      </c>
      <c r="D16" t="s">
        <v>22</v>
      </c>
      <c r="E16"/>
      <c r="F16" t="s">
        <v>6</v>
      </c>
      <c r="G16" t="s">
        <v>26</v>
      </c>
    </row>
    <row r="17" spans="2:7">
      <c r="B17" s="60" t="s">
        <v>202</v>
      </c>
      <c r="C17" t="s">
        <v>204</v>
      </c>
      <c r="D17"/>
      <c r="E17"/>
      <c r="F17"/>
      <c r="G17"/>
    </row>
    <row r="18" spans="2:7">
      <c r="B18" s="61" t="s">
        <v>13</v>
      </c>
      <c r="C18" t="s">
        <v>15</v>
      </c>
      <c r="D18" t="s">
        <v>17</v>
      </c>
      <c r="E18"/>
      <c r="F18" t="s">
        <v>90</v>
      </c>
      <c r="G18" t="s">
        <v>18</v>
      </c>
    </row>
    <row r="19" spans="2:7">
      <c r="B19" s="61" t="s">
        <v>207</v>
      </c>
      <c r="C19" t="s">
        <v>212</v>
      </c>
      <c r="D19"/>
      <c r="E19"/>
      <c r="F19"/>
      <c r="G19"/>
    </row>
    <row r="20" spans="2:7">
      <c r="B20" s="61" t="s">
        <v>208</v>
      </c>
      <c r="C20" t="s">
        <v>213</v>
      </c>
    </row>
    <row r="21" spans="2:7">
      <c r="B21" s="61" t="s">
        <v>209</v>
      </c>
      <c r="C21" s="55" t="s">
        <v>214</v>
      </c>
    </row>
    <row r="22" spans="2:7">
      <c r="B22" s="61" t="s">
        <v>210</v>
      </c>
      <c r="C22" s="55" t="s">
        <v>215</v>
      </c>
    </row>
    <row r="23" spans="2:7">
      <c r="B23" s="61" t="s">
        <v>211</v>
      </c>
      <c r="C23" s="55" t="s">
        <v>216</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10">
    <tabColor rgb="FF92D050"/>
  </sheetPr>
  <dimension ref="B2:O620"/>
  <sheetViews>
    <sheetView zoomScale="110" zoomScaleNormal="110" workbookViewId="0">
      <selection activeCell="F556" sqref="F556"/>
    </sheetView>
  </sheetViews>
  <sheetFormatPr defaultRowHeight="12.6"/>
  <cols>
    <col min="6" max="6" width="26.5546875" bestFit="1" customWidth="1"/>
    <col min="7" max="7" width="26.5546875" customWidth="1"/>
    <col min="8" max="8" width="10.88671875" bestFit="1" customWidth="1"/>
    <col min="9" max="9" width="10.88671875" customWidth="1"/>
    <col min="13" max="14" width="22.5546875" customWidth="1"/>
  </cols>
  <sheetData>
    <row r="2" spans="2:14" ht="25.8">
      <c r="B2" s="11" t="s">
        <v>84</v>
      </c>
    </row>
    <row r="4" spans="2:14" ht="14.4">
      <c r="B4" s="2" t="s">
        <v>459</v>
      </c>
      <c r="C4" s="1"/>
      <c r="D4" s="1"/>
      <c r="E4" s="1"/>
      <c r="F4" s="1"/>
      <c r="G4" s="1"/>
      <c r="H4" s="1"/>
      <c r="I4" s="1"/>
      <c r="M4" t="s">
        <v>74</v>
      </c>
    </row>
    <row r="5" spans="2:14" ht="13.8" thickBot="1">
      <c r="B5" s="3" t="s">
        <v>4</v>
      </c>
      <c r="C5" s="3" t="s">
        <v>5</v>
      </c>
      <c r="D5" s="3" t="s">
        <v>1</v>
      </c>
      <c r="E5" s="5" t="s">
        <v>46</v>
      </c>
      <c r="F5" s="5" t="s">
        <v>6</v>
      </c>
      <c r="G5" s="18" t="s">
        <v>43</v>
      </c>
      <c r="H5" s="4" t="s">
        <v>432</v>
      </c>
      <c r="I5" s="275" t="s">
        <v>433</v>
      </c>
      <c r="M5" t="s">
        <v>46</v>
      </c>
      <c r="N5" t="s">
        <v>6</v>
      </c>
    </row>
    <row r="6" spans="2:14" ht="13.2">
      <c r="B6" t="s">
        <v>458</v>
      </c>
      <c r="C6" t="s">
        <v>8</v>
      </c>
      <c r="D6" s="6">
        <v>2010</v>
      </c>
      <c r="E6" t="s">
        <v>47</v>
      </c>
      <c r="F6" t="s">
        <v>10</v>
      </c>
      <c r="G6" s="30" t="s">
        <v>297</v>
      </c>
      <c r="H6" s="14">
        <f t="shared" ref="H6:H37" si="0">HLOOKUP(F6,FuelTax2,D6-2006,FALSE)</f>
        <v>55.769961964079862</v>
      </c>
      <c r="I6" s="14">
        <f>H6</f>
        <v>55.769961964079862</v>
      </c>
      <c r="M6" t="s">
        <v>47</v>
      </c>
      <c r="N6" t="s">
        <v>10</v>
      </c>
    </row>
    <row r="7" spans="2:14" ht="13.2">
      <c r="B7" t="s">
        <v>458</v>
      </c>
      <c r="C7" s="9" t="s">
        <v>8</v>
      </c>
      <c r="D7" s="20">
        <v>2011</v>
      </c>
      <c r="E7" s="9" t="s">
        <v>47</v>
      </c>
      <c r="F7" s="9" t="s">
        <v>10</v>
      </c>
      <c r="G7" s="30" t="s">
        <v>297</v>
      </c>
      <c r="H7" s="14">
        <f t="shared" si="0"/>
        <v>58.438842754565691</v>
      </c>
      <c r="I7" s="14">
        <f t="shared" ref="I7:I37" si="1">H7</f>
        <v>58.438842754565691</v>
      </c>
      <c r="M7" t="s">
        <v>47</v>
      </c>
      <c r="N7" t="s">
        <v>70</v>
      </c>
    </row>
    <row r="8" spans="2:14" ht="13.2">
      <c r="B8" t="s">
        <v>458</v>
      </c>
      <c r="C8" s="9" t="s">
        <v>8</v>
      </c>
      <c r="D8" s="20">
        <v>2012</v>
      </c>
      <c r="E8" s="9" t="s">
        <v>47</v>
      </c>
      <c r="F8" s="9" t="s">
        <v>10</v>
      </c>
      <c r="G8" s="30" t="s">
        <v>297</v>
      </c>
      <c r="H8" s="14">
        <f t="shared" si="0"/>
        <v>59.455933121894155</v>
      </c>
      <c r="I8" s="14">
        <f t="shared" si="1"/>
        <v>59.455933121894155</v>
      </c>
      <c r="M8" t="s">
        <v>47</v>
      </c>
      <c r="N8" t="s">
        <v>71</v>
      </c>
    </row>
    <row r="9" spans="2:14" ht="13.2">
      <c r="B9" t="s">
        <v>458</v>
      </c>
      <c r="C9" s="9" t="s">
        <v>8</v>
      </c>
      <c r="D9" s="20">
        <v>2013</v>
      </c>
      <c r="E9" s="9" t="s">
        <v>47</v>
      </c>
      <c r="F9" s="9" t="s">
        <v>10</v>
      </c>
      <c r="G9" s="30" t="s">
        <v>297</v>
      </c>
      <c r="H9" s="14">
        <f t="shared" si="0"/>
        <v>65.041823020011606</v>
      </c>
      <c r="I9" s="14">
        <f t="shared" si="1"/>
        <v>65.041823020011606</v>
      </c>
      <c r="M9" t="s">
        <v>47</v>
      </c>
      <c r="N9" t="s">
        <v>9</v>
      </c>
    </row>
    <row r="10" spans="2:14" ht="13.2">
      <c r="B10" t="s">
        <v>458</v>
      </c>
      <c r="C10" s="9" t="s">
        <v>8</v>
      </c>
      <c r="D10" s="20">
        <v>2014</v>
      </c>
      <c r="E10" s="9" t="s">
        <v>47</v>
      </c>
      <c r="F10" s="9" t="s">
        <v>10</v>
      </c>
      <c r="G10" s="30" t="s">
        <v>297</v>
      </c>
      <c r="H10" s="14">
        <f t="shared" si="0"/>
        <v>70.755807505394102</v>
      </c>
      <c r="I10" s="14">
        <f t="shared" si="1"/>
        <v>70.755807505394102</v>
      </c>
      <c r="M10" t="s">
        <v>47</v>
      </c>
      <c r="N10" t="s">
        <v>51</v>
      </c>
    </row>
    <row r="11" spans="2:14" ht="13.2">
      <c r="B11" t="s">
        <v>458</v>
      </c>
      <c r="C11" s="9" t="s">
        <v>8</v>
      </c>
      <c r="D11" s="20">
        <v>2015</v>
      </c>
      <c r="E11" s="9" t="s">
        <v>47</v>
      </c>
      <c r="F11" s="9" t="s">
        <v>10</v>
      </c>
      <c r="G11" s="30" t="s">
        <v>297</v>
      </c>
      <c r="H11" s="14">
        <f t="shared" si="0"/>
        <v>54.9</v>
      </c>
      <c r="I11" s="14">
        <f t="shared" si="1"/>
        <v>54.9</v>
      </c>
      <c r="M11" t="s">
        <v>47</v>
      </c>
      <c r="N11" t="s">
        <v>11</v>
      </c>
    </row>
    <row r="12" spans="2:14" ht="13.2">
      <c r="B12" t="s">
        <v>458</v>
      </c>
      <c r="C12" s="9" t="s">
        <v>8</v>
      </c>
      <c r="D12" s="20">
        <v>2016</v>
      </c>
      <c r="E12" s="9" t="s">
        <v>47</v>
      </c>
      <c r="F12" s="9" t="s">
        <v>10</v>
      </c>
      <c r="G12" s="30" t="s">
        <v>297</v>
      </c>
      <c r="H12" s="14">
        <f t="shared" si="0"/>
        <v>54.9</v>
      </c>
      <c r="I12" s="14">
        <f t="shared" si="1"/>
        <v>54.9</v>
      </c>
      <c r="M12" t="s">
        <v>47</v>
      </c>
      <c r="N12" t="s">
        <v>72</v>
      </c>
    </row>
    <row r="13" spans="2:14" ht="13.2">
      <c r="B13" t="s">
        <v>458</v>
      </c>
      <c r="C13" s="9" t="s">
        <v>8</v>
      </c>
      <c r="D13" s="20">
        <v>2017</v>
      </c>
      <c r="E13" s="9" t="s">
        <v>47</v>
      </c>
      <c r="F13" s="9" t="s">
        <v>10</v>
      </c>
      <c r="G13" s="30" t="s">
        <v>297</v>
      </c>
      <c r="H13" s="14">
        <f t="shared" si="0"/>
        <v>54.9</v>
      </c>
      <c r="I13" s="14">
        <f t="shared" si="1"/>
        <v>54.9</v>
      </c>
      <c r="M13" t="s">
        <v>47</v>
      </c>
      <c r="N13" t="s">
        <v>52</v>
      </c>
    </row>
    <row r="14" spans="2:14" ht="13.2">
      <c r="B14" t="s">
        <v>458</v>
      </c>
      <c r="C14" s="9" t="s">
        <v>8</v>
      </c>
      <c r="D14" s="20">
        <v>2018</v>
      </c>
      <c r="E14" s="9" t="s">
        <v>47</v>
      </c>
      <c r="F14" s="9" t="s">
        <v>10</v>
      </c>
      <c r="G14" s="30" t="s">
        <v>297</v>
      </c>
      <c r="H14" s="14">
        <f t="shared" si="0"/>
        <v>54.9</v>
      </c>
      <c r="I14" s="14">
        <f t="shared" si="1"/>
        <v>54.9</v>
      </c>
      <c r="M14" t="s">
        <v>47</v>
      </c>
      <c r="N14" t="s">
        <v>55</v>
      </c>
    </row>
    <row r="15" spans="2:14" ht="13.8">
      <c r="B15" t="s">
        <v>458</v>
      </c>
      <c r="C15" s="9" t="s">
        <v>8</v>
      </c>
      <c r="D15" s="20">
        <v>2019</v>
      </c>
      <c r="E15" s="9" t="s">
        <v>47</v>
      </c>
      <c r="F15" s="9" t="s">
        <v>10</v>
      </c>
      <c r="G15" s="30" t="s">
        <v>297</v>
      </c>
      <c r="H15" s="14">
        <f t="shared" si="0"/>
        <v>54.9</v>
      </c>
      <c r="I15" s="14">
        <f t="shared" si="1"/>
        <v>54.9</v>
      </c>
      <c r="M15" t="s">
        <v>47</v>
      </c>
      <c r="N15" s="51" t="s">
        <v>132</v>
      </c>
    </row>
    <row r="16" spans="2:14" ht="13.8">
      <c r="B16" t="s">
        <v>458</v>
      </c>
      <c r="C16" s="9" t="s">
        <v>8</v>
      </c>
      <c r="D16" s="20">
        <v>2020</v>
      </c>
      <c r="E16" s="9" t="s">
        <v>47</v>
      </c>
      <c r="F16" s="9" t="s">
        <v>10</v>
      </c>
      <c r="G16" s="30" t="s">
        <v>297</v>
      </c>
      <c r="H16" s="14">
        <f t="shared" si="0"/>
        <v>54.9</v>
      </c>
      <c r="I16" s="14">
        <f t="shared" si="1"/>
        <v>54.9</v>
      </c>
      <c r="M16" t="s">
        <v>47</v>
      </c>
      <c r="N16" s="51" t="s">
        <v>54</v>
      </c>
    </row>
    <row r="17" spans="2:15" ht="13.2">
      <c r="B17" t="s">
        <v>458</v>
      </c>
      <c r="C17" s="9" t="s">
        <v>8</v>
      </c>
      <c r="D17" s="20">
        <v>2021</v>
      </c>
      <c r="E17" s="9" t="s">
        <v>47</v>
      </c>
      <c r="F17" s="9" t="s">
        <v>10</v>
      </c>
      <c r="G17" s="30" t="s">
        <v>297</v>
      </c>
      <c r="H17" s="14">
        <f t="shared" si="0"/>
        <v>54.9</v>
      </c>
      <c r="I17" s="14">
        <f t="shared" si="1"/>
        <v>54.9</v>
      </c>
      <c r="N17" t="s">
        <v>131</v>
      </c>
    </row>
    <row r="18" spans="2:15" ht="13.2">
      <c r="B18" t="s">
        <v>458</v>
      </c>
      <c r="C18" s="9" t="s">
        <v>8</v>
      </c>
      <c r="D18" s="20">
        <v>2022</v>
      </c>
      <c r="E18" s="9" t="s">
        <v>47</v>
      </c>
      <c r="F18" s="9" t="s">
        <v>10</v>
      </c>
      <c r="G18" s="30" t="s">
        <v>297</v>
      </c>
      <c r="H18" s="14">
        <f t="shared" si="0"/>
        <v>54.9</v>
      </c>
      <c r="I18" s="14">
        <f t="shared" si="1"/>
        <v>54.9</v>
      </c>
      <c r="M18" t="s">
        <v>161</v>
      </c>
    </row>
    <row r="19" spans="2:15" ht="13.2">
      <c r="B19" t="s">
        <v>458</v>
      </c>
      <c r="C19" s="9" t="s">
        <v>8</v>
      </c>
      <c r="D19" s="20">
        <v>2023</v>
      </c>
      <c r="E19" s="9" t="s">
        <v>47</v>
      </c>
      <c r="F19" s="9" t="s">
        <v>10</v>
      </c>
      <c r="G19" s="30" t="s">
        <v>297</v>
      </c>
      <c r="H19" s="14">
        <f t="shared" si="0"/>
        <v>54.9</v>
      </c>
      <c r="I19" s="14">
        <f t="shared" si="1"/>
        <v>54.9</v>
      </c>
    </row>
    <row r="20" spans="2:15" ht="13.2">
      <c r="B20" t="s">
        <v>458</v>
      </c>
      <c r="C20" s="9" t="s">
        <v>8</v>
      </c>
      <c r="D20" s="20">
        <v>2024</v>
      </c>
      <c r="E20" s="9" t="s">
        <v>47</v>
      </c>
      <c r="F20" s="9" t="s">
        <v>10</v>
      </c>
      <c r="G20" s="30" t="s">
        <v>297</v>
      </c>
      <c r="H20" s="14">
        <f t="shared" si="0"/>
        <v>54.9</v>
      </c>
      <c r="I20" s="14">
        <f t="shared" si="1"/>
        <v>54.9</v>
      </c>
      <c r="O20" s="49"/>
    </row>
    <row r="21" spans="2:15" ht="13.8">
      <c r="B21" t="s">
        <v>458</v>
      </c>
      <c r="C21" s="9" t="s">
        <v>8</v>
      </c>
      <c r="D21" s="20">
        <v>2025</v>
      </c>
      <c r="E21" s="9" t="s">
        <v>47</v>
      </c>
      <c r="F21" s="9" t="s">
        <v>10</v>
      </c>
      <c r="G21" s="30" t="s">
        <v>297</v>
      </c>
      <c r="H21" s="14">
        <f t="shared" si="0"/>
        <v>54.9</v>
      </c>
      <c r="I21" s="14">
        <f t="shared" si="1"/>
        <v>54.9</v>
      </c>
      <c r="M21" s="51"/>
      <c r="N21" s="52"/>
      <c r="O21" s="49"/>
    </row>
    <row r="22" spans="2:15" ht="13.8">
      <c r="B22" t="s">
        <v>458</v>
      </c>
      <c r="C22" s="9" t="s">
        <v>8</v>
      </c>
      <c r="D22" s="20">
        <v>2026</v>
      </c>
      <c r="E22" s="9" t="s">
        <v>47</v>
      </c>
      <c r="F22" s="9" t="s">
        <v>10</v>
      </c>
      <c r="G22" s="30" t="s">
        <v>297</v>
      </c>
      <c r="H22" s="14">
        <f t="shared" si="0"/>
        <v>54.9</v>
      </c>
      <c r="I22" s="14">
        <f t="shared" si="1"/>
        <v>54.9</v>
      </c>
      <c r="M22" s="51"/>
      <c r="N22" s="52"/>
      <c r="O22" s="49"/>
    </row>
    <row r="23" spans="2:15" ht="13.8">
      <c r="B23" t="s">
        <v>458</v>
      </c>
      <c r="C23" s="9" t="s">
        <v>8</v>
      </c>
      <c r="D23" s="20">
        <v>2027</v>
      </c>
      <c r="E23" s="9" t="s">
        <v>47</v>
      </c>
      <c r="F23" s="9" t="s">
        <v>10</v>
      </c>
      <c r="G23" s="30" t="s">
        <v>297</v>
      </c>
      <c r="H23" s="14">
        <f t="shared" si="0"/>
        <v>54.9</v>
      </c>
      <c r="I23" s="14">
        <f t="shared" si="1"/>
        <v>54.9</v>
      </c>
      <c r="M23" s="51"/>
      <c r="N23" s="52"/>
      <c r="O23" s="49"/>
    </row>
    <row r="24" spans="2:15" ht="13.8">
      <c r="B24" t="s">
        <v>458</v>
      </c>
      <c r="C24" s="9" t="s">
        <v>8</v>
      </c>
      <c r="D24" s="20">
        <v>2028</v>
      </c>
      <c r="E24" s="9" t="s">
        <v>47</v>
      </c>
      <c r="F24" s="9" t="s">
        <v>10</v>
      </c>
      <c r="G24" s="30" t="s">
        <v>297</v>
      </c>
      <c r="H24" s="14">
        <f t="shared" si="0"/>
        <v>54.9</v>
      </c>
      <c r="I24" s="14">
        <f t="shared" si="1"/>
        <v>54.9</v>
      </c>
      <c r="M24" s="51"/>
      <c r="N24" s="52"/>
      <c r="O24" s="49"/>
    </row>
    <row r="25" spans="2:15" ht="13.8">
      <c r="B25" t="s">
        <v>458</v>
      </c>
      <c r="C25" s="9" t="s">
        <v>8</v>
      </c>
      <c r="D25" s="20">
        <v>2029</v>
      </c>
      <c r="E25" s="9" t="s">
        <v>47</v>
      </c>
      <c r="F25" s="9" t="s">
        <v>10</v>
      </c>
      <c r="G25" s="30" t="s">
        <v>297</v>
      </c>
      <c r="H25" s="14">
        <f t="shared" si="0"/>
        <v>54.9</v>
      </c>
      <c r="I25" s="14">
        <f t="shared" si="1"/>
        <v>54.9</v>
      </c>
      <c r="N25" s="51"/>
      <c r="O25" s="49"/>
    </row>
    <row r="26" spans="2:15" ht="13.8">
      <c r="B26" t="s">
        <v>458</v>
      </c>
      <c r="C26" s="9" t="s">
        <v>8</v>
      </c>
      <c r="D26" s="20">
        <v>2030</v>
      </c>
      <c r="E26" s="9" t="s">
        <v>47</v>
      </c>
      <c r="F26" s="9" t="s">
        <v>10</v>
      </c>
      <c r="G26" s="30" t="s">
        <v>297</v>
      </c>
      <c r="H26" s="14">
        <f t="shared" si="0"/>
        <v>54.9</v>
      </c>
      <c r="I26" s="14">
        <f t="shared" si="1"/>
        <v>54.9</v>
      </c>
      <c r="N26" s="52"/>
      <c r="O26" s="49"/>
    </row>
    <row r="27" spans="2:15" ht="13.8">
      <c r="B27" t="s">
        <v>458</v>
      </c>
      <c r="C27" s="9" t="s">
        <v>8</v>
      </c>
      <c r="D27" s="20">
        <v>2031</v>
      </c>
      <c r="E27" s="9" t="s">
        <v>47</v>
      </c>
      <c r="F27" s="9" t="s">
        <v>10</v>
      </c>
      <c r="G27" s="30" t="s">
        <v>297</v>
      </c>
      <c r="H27" s="14">
        <f t="shared" si="0"/>
        <v>54.9</v>
      </c>
      <c r="I27" s="14">
        <f t="shared" si="1"/>
        <v>54.9</v>
      </c>
      <c r="M27" s="52"/>
      <c r="N27" s="52"/>
      <c r="O27" s="49"/>
    </row>
    <row r="28" spans="2:15" ht="13.8">
      <c r="B28" t="s">
        <v>458</v>
      </c>
      <c r="C28" s="9" t="s">
        <v>8</v>
      </c>
      <c r="D28" s="20">
        <v>2032</v>
      </c>
      <c r="E28" s="9" t="s">
        <v>47</v>
      </c>
      <c r="F28" s="9" t="s">
        <v>10</v>
      </c>
      <c r="G28" s="30" t="s">
        <v>297</v>
      </c>
      <c r="H28" s="14">
        <f t="shared" si="0"/>
        <v>54.9</v>
      </c>
      <c r="I28" s="14">
        <f t="shared" si="1"/>
        <v>54.9</v>
      </c>
      <c r="M28" s="49"/>
      <c r="N28" s="52"/>
      <c r="O28" s="49"/>
    </row>
    <row r="29" spans="2:15" ht="13.8">
      <c r="B29" t="s">
        <v>458</v>
      </c>
      <c r="C29" s="9" t="s">
        <v>8</v>
      </c>
      <c r="D29" s="20">
        <v>2033</v>
      </c>
      <c r="E29" s="9" t="s">
        <v>47</v>
      </c>
      <c r="F29" s="9" t="s">
        <v>10</v>
      </c>
      <c r="G29" s="30" t="s">
        <v>297</v>
      </c>
      <c r="H29" s="14">
        <f t="shared" si="0"/>
        <v>54.9</v>
      </c>
      <c r="I29" s="14">
        <f t="shared" si="1"/>
        <v>54.9</v>
      </c>
      <c r="M29" s="51"/>
      <c r="N29" s="52"/>
      <c r="O29" s="49"/>
    </row>
    <row r="30" spans="2:15" ht="13.8">
      <c r="B30" t="s">
        <v>458</v>
      </c>
      <c r="C30" s="9" t="s">
        <v>8</v>
      </c>
      <c r="D30" s="20">
        <v>2034</v>
      </c>
      <c r="E30" s="9" t="s">
        <v>47</v>
      </c>
      <c r="F30" s="9" t="s">
        <v>10</v>
      </c>
      <c r="G30" s="30" t="s">
        <v>297</v>
      </c>
      <c r="H30" s="14">
        <f t="shared" si="0"/>
        <v>54.9</v>
      </c>
      <c r="I30" s="14">
        <f t="shared" si="1"/>
        <v>54.9</v>
      </c>
      <c r="M30" s="51"/>
      <c r="N30" s="52"/>
      <c r="O30" s="49"/>
    </row>
    <row r="31" spans="2:15" ht="13.8">
      <c r="B31" t="s">
        <v>458</v>
      </c>
      <c r="C31" s="9" t="s">
        <v>8</v>
      </c>
      <c r="D31" s="20">
        <v>2035</v>
      </c>
      <c r="E31" s="9" t="s">
        <v>47</v>
      </c>
      <c r="F31" s="9" t="s">
        <v>10</v>
      </c>
      <c r="G31" s="30" t="s">
        <v>297</v>
      </c>
      <c r="H31" s="14">
        <f t="shared" si="0"/>
        <v>54.9</v>
      </c>
      <c r="I31" s="14">
        <f t="shared" si="1"/>
        <v>54.9</v>
      </c>
      <c r="M31" s="51"/>
      <c r="N31" s="52"/>
      <c r="O31" s="49"/>
    </row>
    <row r="32" spans="2:15" ht="13.8">
      <c r="B32" t="s">
        <v>458</v>
      </c>
      <c r="C32" s="9" t="s">
        <v>8</v>
      </c>
      <c r="D32" s="20">
        <v>2036</v>
      </c>
      <c r="E32" s="9" t="s">
        <v>47</v>
      </c>
      <c r="F32" s="9" t="s">
        <v>10</v>
      </c>
      <c r="G32" s="30" t="s">
        <v>297</v>
      </c>
      <c r="H32" s="14">
        <f t="shared" si="0"/>
        <v>54.9</v>
      </c>
      <c r="I32" s="14">
        <f t="shared" si="1"/>
        <v>54.9</v>
      </c>
      <c r="M32" s="51"/>
      <c r="N32" s="51"/>
      <c r="O32" s="49"/>
    </row>
    <row r="33" spans="2:15" ht="13.8">
      <c r="B33" t="s">
        <v>458</v>
      </c>
      <c r="C33" s="9" t="s">
        <v>8</v>
      </c>
      <c r="D33" s="20">
        <v>2037</v>
      </c>
      <c r="E33" s="9" t="s">
        <v>47</v>
      </c>
      <c r="F33" s="9" t="s">
        <v>10</v>
      </c>
      <c r="G33" s="30" t="s">
        <v>297</v>
      </c>
      <c r="H33" s="14">
        <f t="shared" si="0"/>
        <v>54.9</v>
      </c>
      <c r="I33" s="14">
        <f t="shared" si="1"/>
        <v>54.9</v>
      </c>
      <c r="M33" s="49"/>
      <c r="N33" s="52"/>
      <c r="O33" s="49"/>
    </row>
    <row r="34" spans="2:15" ht="13.8">
      <c r="B34" t="s">
        <v>458</v>
      </c>
      <c r="C34" s="9" t="s">
        <v>8</v>
      </c>
      <c r="D34" s="20">
        <v>2038</v>
      </c>
      <c r="E34" s="9" t="s">
        <v>47</v>
      </c>
      <c r="F34" s="9" t="s">
        <v>10</v>
      </c>
      <c r="G34" s="30" t="s">
        <v>297</v>
      </c>
      <c r="H34" s="14">
        <f t="shared" si="0"/>
        <v>54.9</v>
      </c>
      <c r="I34" s="14">
        <f t="shared" si="1"/>
        <v>54.9</v>
      </c>
      <c r="M34" s="49"/>
      <c r="N34" s="52"/>
      <c r="O34" s="49"/>
    </row>
    <row r="35" spans="2:15" ht="13.8">
      <c r="B35" t="s">
        <v>458</v>
      </c>
      <c r="C35" s="9" t="s">
        <v>8</v>
      </c>
      <c r="D35" s="20">
        <v>2039</v>
      </c>
      <c r="E35" s="9" t="s">
        <v>47</v>
      </c>
      <c r="F35" s="9" t="s">
        <v>10</v>
      </c>
      <c r="G35" s="30" t="s">
        <v>297</v>
      </c>
      <c r="H35" s="14">
        <f t="shared" si="0"/>
        <v>54.9</v>
      </c>
      <c r="I35" s="14">
        <f t="shared" si="1"/>
        <v>54.9</v>
      </c>
      <c r="M35" s="49"/>
      <c r="N35" s="52"/>
      <c r="O35" s="49"/>
    </row>
    <row r="36" spans="2:15" ht="13.8">
      <c r="B36" t="s">
        <v>458</v>
      </c>
      <c r="C36" s="9" t="s">
        <v>8</v>
      </c>
      <c r="D36" s="20">
        <v>2040</v>
      </c>
      <c r="E36" s="9" t="s">
        <v>47</v>
      </c>
      <c r="F36" s="9" t="s">
        <v>10</v>
      </c>
      <c r="G36" s="30" t="s">
        <v>297</v>
      </c>
      <c r="H36" s="14">
        <f t="shared" si="0"/>
        <v>54.9</v>
      </c>
      <c r="I36" s="14">
        <f t="shared" si="1"/>
        <v>54.9</v>
      </c>
      <c r="M36" s="49"/>
      <c r="N36" s="50"/>
      <c r="O36" s="49"/>
    </row>
    <row r="37" spans="2:15" ht="13.2">
      <c r="B37" t="s">
        <v>458</v>
      </c>
      <c r="C37" s="9" t="s">
        <v>8</v>
      </c>
      <c r="D37" s="20">
        <v>2041</v>
      </c>
      <c r="E37" s="9" t="s">
        <v>47</v>
      </c>
      <c r="F37" s="9" t="s">
        <v>10</v>
      </c>
      <c r="G37" s="30" t="s">
        <v>297</v>
      </c>
      <c r="H37" s="14">
        <f t="shared" si="0"/>
        <v>54.9</v>
      </c>
      <c r="I37" s="14">
        <f t="shared" si="1"/>
        <v>54.9</v>
      </c>
      <c r="M37" s="49"/>
      <c r="N37" s="49"/>
      <c r="O37" s="49"/>
    </row>
    <row r="38" spans="2:15" ht="13.2">
      <c r="B38" t="s">
        <v>458</v>
      </c>
      <c r="C38" s="9" t="s">
        <v>8</v>
      </c>
      <c r="D38" s="20">
        <v>2042</v>
      </c>
      <c r="E38" s="9" t="s">
        <v>47</v>
      </c>
      <c r="F38" s="9" t="s">
        <v>10</v>
      </c>
      <c r="G38" s="30" t="s">
        <v>297</v>
      </c>
      <c r="H38" s="14">
        <f t="shared" ref="H38:H101" si="2">HLOOKUP(F38,FuelTax2,D38-2006,FALSE)</f>
        <v>54.9</v>
      </c>
      <c r="I38" s="14">
        <f t="shared" ref="I38:I101" si="3">H38</f>
        <v>54.9</v>
      </c>
      <c r="M38" s="49"/>
      <c r="N38" s="49"/>
      <c r="O38" s="49"/>
    </row>
    <row r="39" spans="2:15" ht="13.2">
      <c r="B39" t="s">
        <v>458</v>
      </c>
      <c r="C39" s="9" t="s">
        <v>8</v>
      </c>
      <c r="D39" s="20">
        <v>2043</v>
      </c>
      <c r="E39" s="9" t="s">
        <v>47</v>
      </c>
      <c r="F39" s="9" t="s">
        <v>10</v>
      </c>
      <c r="G39" s="30" t="s">
        <v>297</v>
      </c>
      <c r="H39" s="14">
        <f t="shared" si="2"/>
        <v>54.9</v>
      </c>
      <c r="I39" s="14">
        <f t="shared" si="3"/>
        <v>54.9</v>
      </c>
      <c r="M39" s="49"/>
      <c r="N39" s="49"/>
      <c r="O39" s="49"/>
    </row>
    <row r="40" spans="2:15" ht="13.2">
      <c r="B40" t="s">
        <v>458</v>
      </c>
      <c r="C40" s="9" t="s">
        <v>8</v>
      </c>
      <c r="D40" s="20">
        <v>2044</v>
      </c>
      <c r="E40" s="9" t="s">
        <v>47</v>
      </c>
      <c r="F40" s="9" t="s">
        <v>10</v>
      </c>
      <c r="G40" s="30" t="s">
        <v>297</v>
      </c>
      <c r="H40" s="14">
        <f t="shared" si="2"/>
        <v>54.9</v>
      </c>
      <c r="I40" s="14">
        <f t="shared" si="3"/>
        <v>54.9</v>
      </c>
      <c r="M40" s="49"/>
      <c r="N40" s="49"/>
      <c r="O40" s="49"/>
    </row>
    <row r="41" spans="2:15" ht="13.2">
      <c r="B41" t="s">
        <v>458</v>
      </c>
      <c r="C41" s="9" t="s">
        <v>8</v>
      </c>
      <c r="D41" s="20">
        <v>2045</v>
      </c>
      <c r="E41" s="9" t="s">
        <v>47</v>
      </c>
      <c r="F41" s="9" t="s">
        <v>10</v>
      </c>
      <c r="G41" s="30" t="s">
        <v>297</v>
      </c>
      <c r="H41" s="14">
        <f t="shared" si="2"/>
        <v>54.9</v>
      </c>
      <c r="I41" s="14">
        <f t="shared" si="3"/>
        <v>54.9</v>
      </c>
    </row>
    <row r="42" spans="2:15" ht="13.2">
      <c r="B42" t="s">
        <v>458</v>
      </c>
      <c r="C42" s="9" t="s">
        <v>8</v>
      </c>
      <c r="D42" s="20">
        <v>2046</v>
      </c>
      <c r="E42" s="9" t="s">
        <v>47</v>
      </c>
      <c r="F42" s="9" t="s">
        <v>10</v>
      </c>
      <c r="G42" s="30" t="s">
        <v>297</v>
      </c>
      <c r="H42" s="14">
        <f t="shared" si="2"/>
        <v>54.9</v>
      </c>
      <c r="I42" s="14">
        <f t="shared" si="3"/>
        <v>54.9</v>
      </c>
    </row>
    <row r="43" spans="2:15" ht="13.2">
      <c r="B43" t="s">
        <v>458</v>
      </c>
      <c r="C43" s="9" t="s">
        <v>8</v>
      </c>
      <c r="D43" s="20">
        <v>2047</v>
      </c>
      <c r="E43" s="9" t="s">
        <v>47</v>
      </c>
      <c r="F43" s="9" t="s">
        <v>10</v>
      </c>
      <c r="G43" s="30" t="s">
        <v>297</v>
      </c>
      <c r="H43" s="14">
        <f t="shared" si="2"/>
        <v>54.9</v>
      </c>
      <c r="I43" s="14">
        <f t="shared" si="3"/>
        <v>54.9</v>
      </c>
    </row>
    <row r="44" spans="2:15" ht="13.2">
      <c r="B44" t="s">
        <v>458</v>
      </c>
      <c r="C44" s="9" t="s">
        <v>8</v>
      </c>
      <c r="D44" s="20">
        <v>2048</v>
      </c>
      <c r="E44" s="9" t="s">
        <v>47</v>
      </c>
      <c r="F44" s="9" t="s">
        <v>10</v>
      </c>
      <c r="G44" s="30" t="s">
        <v>297</v>
      </c>
      <c r="H44" s="14">
        <f t="shared" si="2"/>
        <v>54.9</v>
      </c>
      <c r="I44" s="14">
        <f t="shared" si="3"/>
        <v>54.9</v>
      </c>
    </row>
    <row r="45" spans="2:15" ht="13.2">
      <c r="B45" t="s">
        <v>458</v>
      </c>
      <c r="C45" s="9" t="s">
        <v>8</v>
      </c>
      <c r="D45" s="20">
        <v>2049</v>
      </c>
      <c r="E45" s="9" t="s">
        <v>47</v>
      </c>
      <c r="F45" s="9" t="s">
        <v>10</v>
      </c>
      <c r="G45" s="30" t="s">
        <v>297</v>
      </c>
      <c r="H45" s="14">
        <f t="shared" si="2"/>
        <v>54.9</v>
      </c>
      <c r="I45" s="14">
        <f t="shared" si="3"/>
        <v>54.9</v>
      </c>
    </row>
    <row r="46" spans="2:15" ht="13.2">
      <c r="B46" t="s">
        <v>458</v>
      </c>
      <c r="C46" s="9" t="s">
        <v>8</v>
      </c>
      <c r="D46" s="20">
        <v>2050</v>
      </c>
      <c r="E46" s="9" t="s">
        <v>47</v>
      </c>
      <c r="F46" s="9" t="s">
        <v>10</v>
      </c>
      <c r="G46" s="30" t="s">
        <v>297</v>
      </c>
      <c r="H46" s="14">
        <f t="shared" si="2"/>
        <v>54.9</v>
      </c>
      <c r="I46" s="14">
        <f t="shared" si="3"/>
        <v>54.9</v>
      </c>
    </row>
    <row r="47" spans="2:15" ht="13.2">
      <c r="B47" t="s">
        <v>458</v>
      </c>
      <c r="C47" s="9" t="s">
        <v>8</v>
      </c>
      <c r="D47" s="20">
        <v>2010</v>
      </c>
      <c r="E47" s="9" t="s">
        <v>47</v>
      </c>
      <c r="F47" s="9" t="s">
        <v>70</v>
      </c>
      <c r="G47" s="30" t="s">
        <v>297</v>
      </c>
      <c r="H47" s="14">
        <f t="shared" si="2"/>
        <v>71.763649059011556</v>
      </c>
      <c r="I47" s="14">
        <f t="shared" si="3"/>
        <v>71.763649059011556</v>
      </c>
    </row>
    <row r="48" spans="2:15" ht="13.2">
      <c r="B48" t="s">
        <v>458</v>
      </c>
      <c r="C48" s="9" t="s">
        <v>8</v>
      </c>
      <c r="D48" s="20">
        <v>2011</v>
      </c>
      <c r="E48" s="9" t="s">
        <v>47</v>
      </c>
      <c r="F48" s="9" t="s">
        <v>70</v>
      </c>
      <c r="G48" s="30" t="s">
        <v>297</v>
      </c>
      <c r="H48" s="14">
        <f t="shared" si="2"/>
        <v>71.23967889040803</v>
      </c>
      <c r="I48" s="14">
        <f t="shared" si="3"/>
        <v>71.23967889040803</v>
      </c>
    </row>
    <row r="49" spans="2:9" ht="13.2">
      <c r="B49" t="s">
        <v>458</v>
      </c>
      <c r="C49" s="9" t="s">
        <v>8</v>
      </c>
      <c r="D49" s="20">
        <v>2012</v>
      </c>
      <c r="E49" s="9" t="s">
        <v>47</v>
      </c>
      <c r="F49" s="9" t="s">
        <v>70</v>
      </c>
      <c r="G49" s="30" t="s">
        <v>297</v>
      </c>
      <c r="H49" s="14">
        <f t="shared" si="2"/>
        <v>70.704271349720983</v>
      </c>
      <c r="I49" s="14">
        <f t="shared" si="3"/>
        <v>70.704271349720983</v>
      </c>
    </row>
    <row r="50" spans="2:9" ht="13.2">
      <c r="B50" t="s">
        <v>458</v>
      </c>
      <c r="C50" s="9" t="s">
        <v>8</v>
      </c>
      <c r="D50" s="20">
        <v>2013</v>
      </c>
      <c r="E50" s="9" t="s">
        <v>47</v>
      </c>
      <c r="F50" s="9" t="s">
        <v>70</v>
      </c>
      <c r="G50" s="30" t="s">
        <v>297</v>
      </c>
      <c r="H50" s="14">
        <f t="shared" si="2"/>
        <v>70.872583275214268</v>
      </c>
      <c r="I50" s="14">
        <f t="shared" si="3"/>
        <v>70.872583275214268</v>
      </c>
    </row>
    <row r="51" spans="2:9" ht="13.2">
      <c r="B51" t="s">
        <v>458</v>
      </c>
      <c r="C51" s="9" t="s">
        <v>8</v>
      </c>
      <c r="D51" s="20">
        <v>2014</v>
      </c>
      <c r="E51" s="9" t="s">
        <v>47</v>
      </c>
      <c r="F51" s="9" t="s">
        <v>70</v>
      </c>
      <c r="G51" s="30" t="s">
        <v>297</v>
      </c>
      <c r="H51" s="14">
        <f t="shared" si="2"/>
        <v>71.583375409175758</v>
      </c>
      <c r="I51" s="14">
        <f t="shared" si="3"/>
        <v>71.583375409175758</v>
      </c>
    </row>
    <row r="52" spans="2:9" ht="13.2">
      <c r="B52" t="s">
        <v>458</v>
      </c>
      <c r="C52" s="9" t="s">
        <v>8</v>
      </c>
      <c r="D52" s="20">
        <v>2015</v>
      </c>
      <c r="E52" s="9" t="s">
        <v>47</v>
      </c>
      <c r="F52" s="9" t="s">
        <v>70</v>
      </c>
      <c r="G52" s="30" t="s">
        <v>297</v>
      </c>
      <c r="H52" s="14">
        <f t="shared" si="2"/>
        <v>75.2</v>
      </c>
      <c r="I52" s="14">
        <f t="shared" si="3"/>
        <v>75.2</v>
      </c>
    </row>
    <row r="53" spans="2:9" ht="13.2">
      <c r="B53" t="s">
        <v>458</v>
      </c>
      <c r="C53" s="9" t="s">
        <v>8</v>
      </c>
      <c r="D53" s="20">
        <v>2016</v>
      </c>
      <c r="E53" s="9" t="s">
        <v>47</v>
      </c>
      <c r="F53" s="9" t="s">
        <v>70</v>
      </c>
      <c r="G53" s="30" t="s">
        <v>297</v>
      </c>
      <c r="H53" s="14">
        <f t="shared" si="2"/>
        <v>75.2</v>
      </c>
      <c r="I53" s="14">
        <f t="shared" si="3"/>
        <v>75.2</v>
      </c>
    </row>
    <row r="54" spans="2:9" ht="13.2">
      <c r="B54" t="s">
        <v>458</v>
      </c>
      <c r="C54" s="9" t="s">
        <v>8</v>
      </c>
      <c r="D54" s="20">
        <v>2017</v>
      </c>
      <c r="E54" s="9" t="s">
        <v>47</v>
      </c>
      <c r="F54" s="9" t="s">
        <v>70</v>
      </c>
      <c r="G54" s="30" t="s">
        <v>297</v>
      </c>
      <c r="H54" s="14">
        <f t="shared" si="2"/>
        <v>75.2</v>
      </c>
      <c r="I54" s="14">
        <f t="shared" si="3"/>
        <v>75.2</v>
      </c>
    </row>
    <row r="55" spans="2:9" ht="13.2">
      <c r="B55" t="s">
        <v>458</v>
      </c>
      <c r="C55" s="9" t="s">
        <v>8</v>
      </c>
      <c r="D55" s="20">
        <v>2018</v>
      </c>
      <c r="E55" s="9" t="s">
        <v>47</v>
      </c>
      <c r="F55" s="9" t="s">
        <v>70</v>
      </c>
      <c r="G55" s="30" t="s">
        <v>297</v>
      </c>
      <c r="H55" s="14">
        <f t="shared" si="2"/>
        <v>75.2</v>
      </c>
      <c r="I55" s="14">
        <f t="shared" si="3"/>
        <v>75.2</v>
      </c>
    </row>
    <row r="56" spans="2:9" ht="13.2">
      <c r="B56" t="s">
        <v>458</v>
      </c>
      <c r="C56" s="9" t="s">
        <v>8</v>
      </c>
      <c r="D56" s="20">
        <v>2019</v>
      </c>
      <c r="E56" s="9" t="s">
        <v>47</v>
      </c>
      <c r="F56" s="9" t="s">
        <v>70</v>
      </c>
      <c r="G56" s="30" t="s">
        <v>297</v>
      </c>
      <c r="H56" s="14">
        <f t="shared" si="2"/>
        <v>75.2</v>
      </c>
      <c r="I56" s="14">
        <f t="shared" si="3"/>
        <v>75.2</v>
      </c>
    </row>
    <row r="57" spans="2:9" ht="13.2">
      <c r="B57" t="s">
        <v>458</v>
      </c>
      <c r="C57" s="9" t="s">
        <v>8</v>
      </c>
      <c r="D57" s="20">
        <v>2020</v>
      </c>
      <c r="E57" s="9" t="s">
        <v>47</v>
      </c>
      <c r="F57" s="9" t="s">
        <v>70</v>
      </c>
      <c r="G57" s="30" t="s">
        <v>297</v>
      </c>
      <c r="H57" s="14">
        <f t="shared" si="2"/>
        <v>75.2</v>
      </c>
      <c r="I57" s="14">
        <f t="shared" si="3"/>
        <v>75.2</v>
      </c>
    </row>
    <row r="58" spans="2:9" ht="13.2">
      <c r="B58" t="s">
        <v>458</v>
      </c>
      <c r="C58" s="9" t="s">
        <v>8</v>
      </c>
      <c r="D58" s="20">
        <v>2021</v>
      </c>
      <c r="E58" s="9" t="s">
        <v>47</v>
      </c>
      <c r="F58" s="9" t="s">
        <v>70</v>
      </c>
      <c r="G58" s="30" t="s">
        <v>297</v>
      </c>
      <c r="H58" s="14">
        <f t="shared" si="2"/>
        <v>75.2</v>
      </c>
      <c r="I58" s="14">
        <f t="shared" si="3"/>
        <v>75.2</v>
      </c>
    </row>
    <row r="59" spans="2:9" ht="13.2">
      <c r="B59" t="s">
        <v>458</v>
      </c>
      <c r="C59" s="9" t="s">
        <v>8</v>
      </c>
      <c r="D59" s="20">
        <v>2022</v>
      </c>
      <c r="E59" s="9" t="s">
        <v>47</v>
      </c>
      <c r="F59" s="9" t="s">
        <v>70</v>
      </c>
      <c r="G59" s="30" t="s">
        <v>297</v>
      </c>
      <c r="H59" s="14">
        <f t="shared" si="2"/>
        <v>75.2</v>
      </c>
      <c r="I59" s="14">
        <f t="shared" si="3"/>
        <v>75.2</v>
      </c>
    </row>
    <row r="60" spans="2:9" ht="13.2">
      <c r="B60" t="s">
        <v>458</v>
      </c>
      <c r="C60" s="9" t="s">
        <v>8</v>
      </c>
      <c r="D60" s="20">
        <v>2023</v>
      </c>
      <c r="E60" s="9" t="s">
        <v>47</v>
      </c>
      <c r="F60" s="9" t="s">
        <v>70</v>
      </c>
      <c r="G60" s="30" t="s">
        <v>297</v>
      </c>
      <c r="H60" s="14">
        <f t="shared" si="2"/>
        <v>75.2</v>
      </c>
      <c r="I60" s="14">
        <f t="shared" si="3"/>
        <v>75.2</v>
      </c>
    </row>
    <row r="61" spans="2:9" ht="13.2">
      <c r="B61" t="s">
        <v>458</v>
      </c>
      <c r="C61" s="9" t="s">
        <v>8</v>
      </c>
      <c r="D61" s="20">
        <v>2024</v>
      </c>
      <c r="E61" s="9" t="s">
        <v>47</v>
      </c>
      <c r="F61" s="9" t="s">
        <v>70</v>
      </c>
      <c r="G61" s="30" t="s">
        <v>297</v>
      </c>
      <c r="H61" s="14">
        <f t="shared" si="2"/>
        <v>75.2</v>
      </c>
      <c r="I61" s="14">
        <f t="shared" si="3"/>
        <v>75.2</v>
      </c>
    </row>
    <row r="62" spans="2:9" ht="13.2">
      <c r="B62" t="s">
        <v>458</v>
      </c>
      <c r="C62" s="9" t="s">
        <v>8</v>
      </c>
      <c r="D62" s="20">
        <v>2025</v>
      </c>
      <c r="E62" s="9" t="s">
        <v>47</v>
      </c>
      <c r="F62" s="9" t="s">
        <v>70</v>
      </c>
      <c r="G62" s="30" t="s">
        <v>297</v>
      </c>
      <c r="H62" s="14">
        <f t="shared" si="2"/>
        <v>75.2</v>
      </c>
      <c r="I62" s="14">
        <f t="shared" si="3"/>
        <v>75.2</v>
      </c>
    </row>
    <row r="63" spans="2:9" ht="13.2">
      <c r="B63" t="s">
        <v>458</v>
      </c>
      <c r="C63" s="9" t="s">
        <v>8</v>
      </c>
      <c r="D63" s="20">
        <v>2026</v>
      </c>
      <c r="E63" s="9" t="s">
        <v>47</v>
      </c>
      <c r="F63" s="9" t="s">
        <v>70</v>
      </c>
      <c r="G63" s="30" t="s">
        <v>297</v>
      </c>
      <c r="H63" s="14">
        <f t="shared" si="2"/>
        <v>75.2</v>
      </c>
      <c r="I63" s="14">
        <f t="shared" si="3"/>
        <v>75.2</v>
      </c>
    </row>
    <row r="64" spans="2:9" ht="13.2">
      <c r="B64" t="s">
        <v>458</v>
      </c>
      <c r="C64" s="9" t="s">
        <v>8</v>
      </c>
      <c r="D64" s="20">
        <v>2027</v>
      </c>
      <c r="E64" s="9" t="s">
        <v>47</v>
      </c>
      <c r="F64" s="9" t="s">
        <v>70</v>
      </c>
      <c r="G64" s="30" t="s">
        <v>297</v>
      </c>
      <c r="H64" s="14">
        <f t="shared" si="2"/>
        <v>75.2</v>
      </c>
      <c r="I64" s="14">
        <f t="shared" si="3"/>
        <v>75.2</v>
      </c>
    </row>
    <row r="65" spans="2:9" ht="13.2">
      <c r="B65" t="s">
        <v>458</v>
      </c>
      <c r="C65" s="9" t="s">
        <v>8</v>
      </c>
      <c r="D65" s="20">
        <v>2028</v>
      </c>
      <c r="E65" s="9" t="s">
        <v>47</v>
      </c>
      <c r="F65" s="9" t="s">
        <v>70</v>
      </c>
      <c r="G65" s="30" t="s">
        <v>297</v>
      </c>
      <c r="H65" s="14">
        <f t="shared" si="2"/>
        <v>75.2</v>
      </c>
      <c r="I65" s="14">
        <f t="shared" si="3"/>
        <v>75.2</v>
      </c>
    </row>
    <row r="66" spans="2:9" ht="13.2">
      <c r="B66" t="s">
        <v>458</v>
      </c>
      <c r="C66" s="9" t="s">
        <v>8</v>
      </c>
      <c r="D66" s="20">
        <v>2029</v>
      </c>
      <c r="E66" s="9" t="s">
        <v>47</v>
      </c>
      <c r="F66" s="9" t="s">
        <v>70</v>
      </c>
      <c r="G66" s="30" t="s">
        <v>297</v>
      </c>
      <c r="H66" s="14">
        <f t="shared" si="2"/>
        <v>75.2</v>
      </c>
      <c r="I66" s="14">
        <f t="shared" si="3"/>
        <v>75.2</v>
      </c>
    </row>
    <row r="67" spans="2:9" ht="13.2">
      <c r="B67" t="s">
        <v>458</v>
      </c>
      <c r="C67" s="9" t="s">
        <v>8</v>
      </c>
      <c r="D67" s="20">
        <v>2030</v>
      </c>
      <c r="E67" s="9" t="s">
        <v>47</v>
      </c>
      <c r="F67" s="9" t="s">
        <v>70</v>
      </c>
      <c r="G67" s="30" t="s">
        <v>297</v>
      </c>
      <c r="H67" s="14">
        <f t="shared" si="2"/>
        <v>75.2</v>
      </c>
      <c r="I67" s="14">
        <f t="shared" si="3"/>
        <v>75.2</v>
      </c>
    </row>
    <row r="68" spans="2:9" ht="13.2">
      <c r="B68" t="s">
        <v>458</v>
      </c>
      <c r="C68" s="9" t="s">
        <v>8</v>
      </c>
      <c r="D68" s="20">
        <v>2031</v>
      </c>
      <c r="E68" s="9" t="s">
        <v>47</v>
      </c>
      <c r="F68" s="9" t="s">
        <v>70</v>
      </c>
      <c r="G68" s="30" t="s">
        <v>297</v>
      </c>
      <c r="H68" s="14">
        <f t="shared" si="2"/>
        <v>75.2</v>
      </c>
      <c r="I68" s="14">
        <f t="shared" si="3"/>
        <v>75.2</v>
      </c>
    </row>
    <row r="69" spans="2:9" ht="13.2">
      <c r="B69" t="s">
        <v>458</v>
      </c>
      <c r="C69" s="9" t="s">
        <v>8</v>
      </c>
      <c r="D69" s="20">
        <v>2032</v>
      </c>
      <c r="E69" s="9" t="s">
        <v>47</v>
      </c>
      <c r="F69" s="9" t="s">
        <v>70</v>
      </c>
      <c r="G69" s="30" t="s">
        <v>297</v>
      </c>
      <c r="H69" s="14">
        <f t="shared" si="2"/>
        <v>75.2</v>
      </c>
      <c r="I69" s="14">
        <f t="shared" si="3"/>
        <v>75.2</v>
      </c>
    </row>
    <row r="70" spans="2:9" ht="13.2">
      <c r="B70" t="s">
        <v>458</v>
      </c>
      <c r="C70" s="9" t="s">
        <v>8</v>
      </c>
      <c r="D70" s="20">
        <v>2033</v>
      </c>
      <c r="E70" s="9" t="s">
        <v>47</v>
      </c>
      <c r="F70" s="9" t="s">
        <v>70</v>
      </c>
      <c r="G70" s="30" t="s">
        <v>297</v>
      </c>
      <c r="H70" s="14">
        <f t="shared" si="2"/>
        <v>75.2</v>
      </c>
      <c r="I70" s="14">
        <f t="shared" si="3"/>
        <v>75.2</v>
      </c>
    </row>
    <row r="71" spans="2:9" ht="13.2">
      <c r="B71" t="s">
        <v>458</v>
      </c>
      <c r="C71" s="9" t="s">
        <v>8</v>
      </c>
      <c r="D71" s="20">
        <v>2034</v>
      </c>
      <c r="E71" s="9" t="s">
        <v>47</v>
      </c>
      <c r="F71" s="9" t="s">
        <v>70</v>
      </c>
      <c r="G71" s="30" t="s">
        <v>297</v>
      </c>
      <c r="H71" s="14">
        <f t="shared" si="2"/>
        <v>75.2</v>
      </c>
      <c r="I71" s="14">
        <f t="shared" si="3"/>
        <v>75.2</v>
      </c>
    </row>
    <row r="72" spans="2:9" ht="13.2">
      <c r="B72" t="s">
        <v>458</v>
      </c>
      <c r="C72" s="9" t="s">
        <v>8</v>
      </c>
      <c r="D72" s="20">
        <v>2035</v>
      </c>
      <c r="E72" s="9" t="s">
        <v>47</v>
      </c>
      <c r="F72" s="9" t="s">
        <v>70</v>
      </c>
      <c r="G72" s="30" t="s">
        <v>297</v>
      </c>
      <c r="H72" s="14">
        <f t="shared" si="2"/>
        <v>75.2</v>
      </c>
      <c r="I72" s="14">
        <f t="shared" si="3"/>
        <v>75.2</v>
      </c>
    </row>
    <row r="73" spans="2:9" ht="13.2">
      <c r="B73" t="s">
        <v>458</v>
      </c>
      <c r="C73" s="9" t="s">
        <v>8</v>
      </c>
      <c r="D73" s="20">
        <v>2036</v>
      </c>
      <c r="E73" s="9" t="s">
        <v>47</v>
      </c>
      <c r="F73" s="9" t="s">
        <v>70</v>
      </c>
      <c r="G73" s="30" t="s">
        <v>297</v>
      </c>
      <c r="H73" s="14">
        <f t="shared" si="2"/>
        <v>75.2</v>
      </c>
      <c r="I73" s="14">
        <f t="shared" si="3"/>
        <v>75.2</v>
      </c>
    </row>
    <row r="74" spans="2:9" ht="13.2">
      <c r="B74" t="s">
        <v>458</v>
      </c>
      <c r="C74" s="9" t="s">
        <v>8</v>
      </c>
      <c r="D74" s="20">
        <v>2037</v>
      </c>
      <c r="E74" s="9" t="s">
        <v>47</v>
      </c>
      <c r="F74" s="9" t="s">
        <v>70</v>
      </c>
      <c r="G74" s="30" t="s">
        <v>297</v>
      </c>
      <c r="H74" s="14">
        <f t="shared" si="2"/>
        <v>75.2</v>
      </c>
      <c r="I74" s="14">
        <f t="shared" si="3"/>
        <v>75.2</v>
      </c>
    </row>
    <row r="75" spans="2:9" ht="13.2">
      <c r="B75" t="s">
        <v>458</v>
      </c>
      <c r="C75" s="9" t="s">
        <v>8</v>
      </c>
      <c r="D75" s="20">
        <v>2038</v>
      </c>
      <c r="E75" s="9" t="s">
        <v>47</v>
      </c>
      <c r="F75" s="9" t="s">
        <v>70</v>
      </c>
      <c r="G75" s="30" t="s">
        <v>297</v>
      </c>
      <c r="H75" s="14">
        <f t="shared" si="2"/>
        <v>75.2</v>
      </c>
      <c r="I75" s="14">
        <f t="shared" si="3"/>
        <v>75.2</v>
      </c>
    </row>
    <row r="76" spans="2:9" ht="13.2">
      <c r="B76" t="s">
        <v>458</v>
      </c>
      <c r="C76" s="9" t="s">
        <v>8</v>
      </c>
      <c r="D76" s="20">
        <v>2039</v>
      </c>
      <c r="E76" s="9" t="s">
        <v>47</v>
      </c>
      <c r="F76" s="9" t="s">
        <v>70</v>
      </c>
      <c r="G76" s="30" t="s">
        <v>297</v>
      </c>
      <c r="H76" s="14">
        <f t="shared" si="2"/>
        <v>75.2</v>
      </c>
      <c r="I76" s="14">
        <f t="shared" si="3"/>
        <v>75.2</v>
      </c>
    </row>
    <row r="77" spans="2:9" ht="13.2">
      <c r="B77" t="s">
        <v>458</v>
      </c>
      <c r="C77" s="9" t="s">
        <v>8</v>
      </c>
      <c r="D77" s="20">
        <v>2040</v>
      </c>
      <c r="E77" s="9" t="s">
        <v>47</v>
      </c>
      <c r="F77" s="9" t="s">
        <v>70</v>
      </c>
      <c r="G77" s="30" t="s">
        <v>297</v>
      </c>
      <c r="H77" s="14">
        <f t="shared" si="2"/>
        <v>75.2</v>
      </c>
      <c r="I77" s="14">
        <f t="shared" si="3"/>
        <v>75.2</v>
      </c>
    </row>
    <row r="78" spans="2:9" ht="13.2">
      <c r="B78" t="s">
        <v>458</v>
      </c>
      <c r="C78" s="9" t="s">
        <v>8</v>
      </c>
      <c r="D78" s="20">
        <v>2041</v>
      </c>
      <c r="E78" s="9" t="s">
        <v>47</v>
      </c>
      <c r="F78" s="9" t="s">
        <v>70</v>
      </c>
      <c r="G78" s="30" t="s">
        <v>297</v>
      </c>
      <c r="H78" s="14">
        <f t="shared" si="2"/>
        <v>75.2</v>
      </c>
      <c r="I78" s="14">
        <f t="shared" si="3"/>
        <v>75.2</v>
      </c>
    </row>
    <row r="79" spans="2:9" ht="13.2">
      <c r="B79" t="s">
        <v>458</v>
      </c>
      <c r="C79" s="9" t="s">
        <v>8</v>
      </c>
      <c r="D79" s="20">
        <v>2042</v>
      </c>
      <c r="E79" s="9" t="s">
        <v>47</v>
      </c>
      <c r="F79" s="9" t="s">
        <v>70</v>
      </c>
      <c r="G79" s="30" t="s">
        <v>297</v>
      </c>
      <c r="H79" s="14">
        <f t="shared" si="2"/>
        <v>75.2</v>
      </c>
      <c r="I79" s="14">
        <f t="shared" si="3"/>
        <v>75.2</v>
      </c>
    </row>
    <row r="80" spans="2:9" ht="13.2">
      <c r="B80" t="s">
        <v>458</v>
      </c>
      <c r="C80" s="9" t="s">
        <v>8</v>
      </c>
      <c r="D80" s="20">
        <v>2043</v>
      </c>
      <c r="E80" s="9" t="s">
        <v>47</v>
      </c>
      <c r="F80" s="9" t="s">
        <v>70</v>
      </c>
      <c r="G80" s="30" t="s">
        <v>297</v>
      </c>
      <c r="H80" s="14">
        <f t="shared" si="2"/>
        <v>75.2</v>
      </c>
      <c r="I80" s="14">
        <f t="shared" si="3"/>
        <v>75.2</v>
      </c>
    </row>
    <row r="81" spans="2:9" ht="13.2">
      <c r="B81" t="s">
        <v>458</v>
      </c>
      <c r="C81" s="9" t="s">
        <v>8</v>
      </c>
      <c r="D81" s="20">
        <v>2044</v>
      </c>
      <c r="E81" s="9" t="s">
        <v>47</v>
      </c>
      <c r="F81" s="9" t="s">
        <v>70</v>
      </c>
      <c r="G81" s="30" t="s">
        <v>297</v>
      </c>
      <c r="H81" s="14">
        <f t="shared" si="2"/>
        <v>75.2</v>
      </c>
      <c r="I81" s="14">
        <f t="shared" si="3"/>
        <v>75.2</v>
      </c>
    </row>
    <row r="82" spans="2:9" ht="13.2">
      <c r="B82" t="s">
        <v>458</v>
      </c>
      <c r="C82" s="9" t="s">
        <v>8</v>
      </c>
      <c r="D82" s="20">
        <v>2045</v>
      </c>
      <c r="E82" s="9" t="s">
        <v>47</v>
      </c>
      <c r="F82" s="9" t="s">
        <v>70</v>
      </c>
      <c r="G82" s="30" t="s">
        <v>297</v>
      </c>
      <c r="H82" s="14">
        <f t="shared" si="2"/>
        <v>75.2</v>
      </c>
      <c r="I82" s="14">
        <f t="shared" si="3"/>
        <v>75.2</v>
      </c>
    </row>
    <row r="83" spans="2:9" ht="13.2">
      <c r="B83" t="s">
        <v>458</v>
      </c>
      <c r="C83" s="9" t="s">
        <v>8</v>
      </c>
      <c r="D83" s="20">
        <v>2046</v>
      </c>
      <c r="E83" s="9" t="s">
        <v>47</v>
      </c>
      <c r="F83" s="9" t="s">
        <v>70</v>
      </c>
      <c r="G83" s="30" t="s">
        <v>297</v>
      </c>
      <c r="H83" s="14">
        <f t="shared" si="2"/>
        <v>75.2</v>
      </c>
      <c r="I83" s="14">
        <f t="shared" si="3"/>
        <v>75.2</v>
      </c>
    </row>
    <row r="84" spans="2:9" ht="13.2">
      <c r="B84" t="s">
        <v>458</v>
      </c>
      <c r="C84" s="9" t="s">
        <v>8</v>
      </c>
      <c r="D84" s="20">
        <v>2047</v>
      </c>
      <c r="E84" s="9" t="s">
        <v>47</v>
      </c>
      <c r="F84" s="9" t="s">
        <v>70</v>
      </c>
      <c r="G84" s="30" t="s">
        <v>297</v>
      </c>
      <c r="H84" s="14">
        <f t="shared" si="2"/>
        <v>75.2</v>
      </c>
      <c r="I84" s="14">
        <f t="shared" si="3"/>
        <v>75.2</v>
      </c>
    </row>
    <row r="85" spans="2:9" ht="13.2">
      <c r="B85" t="s">
        <v>458</v>
      </c>
      <c r="C85" s="9" t="s">
        <v>8</v>
      </c>
      <c r="D85" s="20">
        <v>2048</v>
      </c>
      <c r="E85" s="9" t="s">
        <v>47</v>
      </c>
      <c r="F85" s="9" t="s">
        <v>70</v>
      </c>
      <c r="G85" s="30" t="s">
        <v>297</v>
      </c>
      <c r="H85" s="14">
        <f t="shared" si="2"/>
        <v>75.2</v>
      </c>
      <c r="I85" s="14">
        <f t="shared" si="3"/>
        <v>75.2</v>
      </c>
    </row>
    <row r="86" spans="2:9" ht="13.2">
      <c r="B86" t="s">
        <v>458</v>
      </c>
      <c r="C86" s="9" t="s">
        <v>8</v>
      </c>
      <c r="D86" s="20">
        <v>2049</v>
      </c>
      <c r="E86" s="9" t="s">
        <v>47</v>
      </c>
      <c r="F86" s="9" t="s">
        <v>70</v>
      </c>
      <c r="G86" s="30" t="s">
        <v>297</v>
      </c>
      <c r="H86" s="14">
        <f t="shared" si="2"/>
        <v>75.2</v>
      </c>
      <c r="I86" s="14">
        <f t="shared" si="3"/>
        <v>75.2</v>
      </c>
    </row>
    <row r="87" spans="2:9" ht="13.2">
      <c r="B87" t="s">
        <v>458</v>
      </c>
      <c r="C87" s="9" t="s">
        <v>8</v>
      </c>
      <c r="D87" s="20">
        <v>2050</v>
      </c>
      <c r="E87" s="9" t="s">
        <v>47</v>
      </c>
      <c r="F87" s="9" t="s">
        <v>70</v>
      </c>
      <c r="G87" s="30" t="s">
        <v>297</v>
      </c>
      <c r="H87" s="14">
        <f t="shared" si="2"/>
        <v>75.2</v>
      </c>
      <c r="I87" s="14">
        <f t="shared" si="3"/>
        <v>75.2</v>
      </c>
    </row>
    <row r="88" spans="2:9" ht="13.2">
      <c r="B88" t="s">
        <v>458</v>
      </c>
      <c r="C88" s="9" t="s">
        <v>8</v>
      </c>
      <c r="D88" s="20">
        <v>2010</v>
      </c>
      <c r="E88" s="9" t="s">
        <v>47</v>
      </c>
      <c r="F88" s="9" t="s">
        <v>71</v>
      </c>
      <c r="G88" s="30" t="s">
        <v>297</v>
      </c>
      <c r="H88" s="14">
        <f t="shared" si="2"/>
        <v>71.763649059011556</v>
      </c>
      <c r="I88" s="14">
        <f t="shared" si="3"/>
        <v>71.763649059011556</v>
      </c>
    </row>
    <row r="89" spans="2:9" ht="13.2">
      <c r="B89" t="s">
        <v>458</v>
      </c>
      <c r="C89" s="9" t="s">
        <v>8</v>
      </c>
      <c r="D89" s="20">
        <v>2011</v>
      </c>
      <c r="E89" s="9" t="s">
        <v>47</v>
      </c>
      <c r="F89" s="9" t="s">
        <v>71</v>
      </c>
      <c r="G89" s="30" t="s">
        <v>297</v>
      </c>
      <c r="H89" s="14">
        <f t="shared" si="2"/>
        <v>71.23967889040803</v>
      </c>
      <c r="I89" s="14">
        <f t="shared" si="3"/>
        <v>71.23967889040803</v>
      </c>
    </row>
    <row r="90" spans="2:9" ht="13.2">
      <c r="B90" t="s">
        <v>458</v>
      </c>
      <c r="C90" s="9" t="s">
        <v>8</v>
      </c>
      <c r="D90" s="20">
        <v>2012</v>
      </c>
      <c r="E90" s="9" t="s">
        <v>47</v>
      </c>
      <c r="F90" s="9" t="s">
        <v>71</v>
      </c>
      <c r="G90" s="30" t="s">
        <v>297</v>
      </c>
      <c r="H90" s="14">
        <f t="shared" si="2"/>
        <v>70.704271349720983</v>
      </c>
      <c r="I90" s="14">
        <f t="shared" si="3"/>
        <v>70.704271349720983</v>
      </c>
    </row>
    <row r="91" spans="2:9" ht="13.2">
      <c r="B91" t="s">
        <v>458</v>
      </c>
      <c r="C91" s="9" t="s">
        <v>8</v>
      </c>
      <c r="D91" s="20">
        <v>2013</v>
      </c>
      <c r="E91" s="9" t="s">
        <v>47</v>
      </c>
      <c r="F91" s="9" t="s">
        <v>71</v>
      </c>
      <c r="G91" s="30" t="s">
        <v>297</v>
      </c>
      <c r="H91" s="14">
        <f t="shared" si="2"/>
        <v>70.872583275214268</v>
      </c>
      <c r="I91" s="14">
        <f t="shared" si="3"/>
        <v>70.872583275214268</v>
      </c>
    </row>
    <row r="92" spans="2:9" ht="13.2">
      <c r="B92" t="s">
        <v>458</v>
      </c>
      <c r="C92" s="9" t="s">
        <v>8</v>
      </c>
      <c r="D92" s="20">
        <v>2014</v>
      </c>
      <c r="E92" s="9" t="s">
        <v>47</v>
      </c>
      <c r="F92" s="9" t="s">
        <v>71</v>
      </c>
      <c r="G92" s="30" t="s">
        <v>297</v>
      </c>
      <c r="H92" s="14">
        <f t="shared" si="2"/>
        <v>71.583375409175758</v>
      </c>
      <c r="I92" s="14">
        <f t="shared" si="3"/>
        <v>71.583375409175758</v>
      </c>
    </row>
    <row r="93" spans="2:9" ht="13.2">
      <c r="B93" t="s">
        <v>458</v>
      </c>
      <c r="C93" s="9" t="s">
        <v>8</v>
      </c>
      <c r="D93" s="20">
        <v>2015</v>
      </c>
      <c r="E93" s="9" t="s">
        <v>47</v>
      </c>
      <c r="F93" s="9" t="s">
        <v>71</v>
      </c>
      <c r="G93" s="30" t="s">
        <v>297</v>
      </c>
      <c r="H93" s="14">
        <f t="shared" si="2"/>
        <v>75.2</v>
      </c>
      <c r="I93" s="14">
        <f t="shared" si="3"/>
        <v>75.2</v>
      </c>
    </row>
    <row r="94" spans="2:9" ht="13.2">
      <c r="B94" t="s">
        <v>458</v>
      </c>
      <c r="C94" s="9" t="s">
        <v>8</v>
      </c>
      <c r="D94" s="20">
        <v>2016</v>
      </c>
      <c r="E94" s="9" t="s">
        <v>47</v>
      </c>
      <c r="F94" s="9" t="s">
        <v>71</v>
      </c>
      <c r="G94" s="30" t="s">
        <v>297</v>
      </c>
      <c r="H94" s="14">
        <f t="shared" si="2"/>
        <v>75.2</v>
      </c>
      <c r="I94" s="14">
        <f t="shared" si="3"/>
        <v>75.2</v>
      </c>
    </row>
    <row r="95" spans="2:9" ht="13.2">
      <c r="B95" t="s">
        <v>458</v>
      </c>
      <c r="C95" s="9" t="s">
        <v>8</v>
      </c>
      <c r="D95" s="20">
        <v>2017</v>
      </c>
      <c r="E95" s="9" t="s">
        <v>47</v>
      </c>
      <c r="F95" s="9" t="s">
        <v>71</v>
      </c>
      <c r="G95" s="30" t="s">
        <v>297</v>
      </c>
      <c r="H95" s="14">
        <f t="shared" si="2"/>
        <v>75.2</v>
      </c>
      <c r="I95" s="14">
        <f t="shared" si="3"/>
        <v>75.2</v>
      </c>
    </row>
    <row r="96" spans="2:9" ht="13.2">
      <c r="B96" t="s">
        <v>458</v>
      </c>
      <c r="C96" s="9" t="s">
        <v>8</v>
      </c>
      <c r="D96" s="20">
        <v>2018</v>
      </c>
      <c r="E96" s="9" t="s">
        <v>47</v>
      </c>
      <c r="F96" s="9" t="s">
        <v>71</v>
      </c>
      <c r="G96" s="30" t="s">
        <v>297</v>
      </c>
      <c r="H96" s="14">
        <f t="shared" si="2"/>
        <v>75.2</v>
      </c>
      <c r="I96" s="14">
        <f t="shared" si="3"/>
        <v>75.2</v>
      </c>
    </row>
    <row r="97" spans="2:9" ht="13.2">
      <c r="B97" t="s">
        <v>458</v>
      </c>
      <c r="C97" s="9" t="s">
        <v>8</v>
      </c>
      <c r="D97" s="20">
        <v>2019</v>
      </c>
      <c r="E97" s="9" t="s">
        <v>47</v>
      </c>
      <c r="F97" s="9" t="s">
        <v>71</v>
      </c>
      <c r="G97" s="30" t="s">
        <v>297</v>
      </c>
      <c r="H97" s="14">
        <f t="shared" si="2"/>
        <v>75.2</v>
      </c>
      <c r="I97" s="14">
        <f t="shared" si="3"/>
        <v>75.2</v>
      </c>
    </row>
    <row r="98" spans="2:9" ht="13.2">
      <c r="B98" t="s">
        <v>458</v>
      </c>
      <c r="C98" s="9" t="s">
        <v>8</v>
      </c>
      <c r="D98" s="20">
        <v>2020</v>
      </c>
      <c r="E98" s="9" t="s">
        <v>47</v>
      </c>
      <c r="F98" s="9" t="s">
        <v>71</v>
      </c>
      <c r="G98" s="30" t="s">
        <v>297</v>
      </c>
      <c r="H98" s="14">
        <f t="shared" si="2"/>
        <v>75.2</v>
      </c>
      <c r="I98" s="14">
        <f t="shared" si="3"/>
        <v>75.2</v>
      </c>
    </row>
    <row r="99" spans="2:9" ht="13.2">
      <c r="B99" t="s">
        <v>458</v>
      </c>
      <c r="C99" s="9" t="s">
        <v>8</v>
      </c>
      <c r="D99" s="20">
        <v>2021</v>
      </c>
      <c r="E99" s="9" t="s">
        <v>47</v>
      </c>
      <c r="F99" s="9" t="s">
        <v>71</v>
      </c>
      <c r="G99" s="30" t="s">
        <v>297</v>
      </c>
      <c r="H99" s="14">
        <f t="shared" si="2"/>
        <v>75.2</v>
      </c>
      <c r="I99" s="14">
        <f t="shared" si="3"/>
        <v>75.2</v>
      </c>
    </row>
    <row r="100" spans="2:9" ht="13.2">
      <c r="B100" t="s">
        <v>458</v>
      </c>
      <c r="C100" s="9" t="s">
        <v>8</v>
      </c>
      <c r="D100" s="20">
        <v>2022</v>
      </c>
      <c r="E100" s="9" t="s">
        <v>47</v>
      </c>
      <c r="F100" s="9" t="s">
        <v>71</v>
      </c>
      <c r="G100" s="30" t="s">
        <v>297</v>
      </c>
      <c r="H100" s="14">
        <f t="shared" si="2"/>
        <v>75.2</v>
      </c>
      <c r="I100" s="14">
        <f t="shared" si="3"/>
        <v>75.2</v>
      </c>
    </row>
    <row r="101" spans="2:9" ht="13.2">
      <c r="B101" t="s">
        <v>458</v>
      </c>
      <c r="C101" s="9" t="s">
        <v>8</v>
      </c>
      <c r="D101" s="20">
        <v>2023</v>
      </c>
      <c r="E101" s="9" t="s">
        <v>47</v>
      </c>
      <c r="F101" s="9" t="s">
        <v>71</v>
      </c>
      <c r="G101" s="30" t="s">
        <v>297</v>
      </c>
      <c r="H101" s="14">
        <f t="shared" si="2"/>
        <v>75.2</v>
      </c>
      <c r="I101" s="14">
        <f t="shared" si="3"/>
        <v>75.2</v>
      </c>
    </row>
    <row r="102" spans="2:9" ht="13.2">
      <c r="B102" t="s">
        <v>458</v>
      </c>
      <c r="C102" s="9" t="s">
        <v>8</v>
      </c>
      <c r="D102" s="20">
        <v>2024</v>
      </c>
      <c r="E102" s="9" t="s">
        <v>47</v>
      </c>
      <c r="F102" s="9" t="s">
        <v>71</v>
      </c>
      <c r="G102" s="30" t="s">
        <v>297</v>
      </c>
      <c r="H102" s="14">
        <f t="shared" ref="H102:H165" si="4">HLOOKUP(F102,FuelTax2,D102-2006,FALSE)</f>
        <v>75.2</v>
      </c>
      <c r="I102" s="14">
        <f t="shared" ref="I102:I165" si="5">H102</f>
        <v>75.2</v>
      </c>
    </row>
    <row r="103" spans="2:9" ht="13.2">
      <c r="B103" t="s">
        <v>458</v>
      </c>
      <c r="C103" s="9" t="s">
        <v>8</v>
      </c>
      <c r="D103" s="20">
        <v>2025</v>
      </c>
      <c r="E103" s="9" t="s">
        <v>47</v>
      </c>
      <c r="F103" s="9" t="s">
        <v>71</v>
      </c>
      <c r="G103" s="30" t="s">
        <v>297</v>
      </c>
      <c r="H103" s="14">
        <f t="shared" si="4"/>
        <v>75.2</v>
      </c>
      <c r="I103" s="14">
        <f t="shared" si="5"/>
        <v>75.2</v>
      </c>
    </row>
    <row r="104" spans="2:9" ht="13.2">
      <c r="B104" t="s">
        <v>458</v>
      </c>
      <c r="C104" s="9" t="s">
        <v>8</v>
      </c>
      <c r="D104" s="20">
        <v>2026</v>
      </c>
      <c r="E104" s="9" t="s">
        <v>47</v>
      </c>
      <c r="F104" s="9" t="s">
        <v>71</v>
      </c>
      <c r="G104" s="30" t="s">
        <v>297</v>
      </c>
      <c r="H104" s="14">
        <f t="shared" si="4"/>
        <v>75.2</v>
      </c>
      <c r="I104" s="14">
        <f t="shared" si="5"/>
        <v>75.2</v>
      </c>
    </row>
    <row r="105" spans="2:9" ht="13.2">
      <c r="B105" t="s">
        <v>458</v>
      </c>
      <c r="C105" s="9" t="s">
        <v>8</v>
      </c>
      <c r="D105" s="20">
        <v>2027</v>
      </c>
      <c r="E105" s="9" t="s">
        <v>47</v>
      </c>
      <c r="F105" s="9" t="s">
        <v>71</v>
      </c>
      <c r="G105" s="30" t="s">
        <v>297</v>
      </c>
      <c r="H105" s="14">
        <f t="shared" si="4"/>
        <v>75.2</v>
      </c>
      <c r="I105" s="14">
        <f t="shared" si="5"/>
        <v>75.2</v>
      </c>
    </row>
    <row r="106" spans="2:9" ht="13.2">
      <c r="B106" t="s">
        <v>458</v>
      </c>
      <c r="C106" s="9" t="s">
        <v>8</v>
      </c>
      <c r="D106" s="20">
        <v>2028</v>
      </c>
      <c r="E106" s="9" t="s">
        <v>47</v>
      </c>
      <c r="F106" s="9" t="s">
        <v>71</v>
      </c>
      <c r="G106" s="30" t="s">
        <v>297</v>
      </c>
      <c r="H106" s="14">
        <f t="shared" si="4"/>
        <v>75.2</v>
      </c>
      <c r="I106" s="14">
        <f t="shared" si="5"/>
        <v>75.2</v>
      </c>
    </row>
    <row r="107" spans="2:9" ht="13.2">
      <c r="B107" t="s">
        <v>458</v>
      </c>
      <c r="C107" s="9" t="s">
        <v>8</v>
      </c>
      <c r="D107" s="20">
        <v>2029</v>
      </c>
      <c r="E107" s="9" t="s">
        <v>47</v>
      </c>
      <c r="F107" s="9" t="s">
        <v>71</v>
      </c>
      <c r="G107" s="30" t="s">
        <v>297</v>
      </c>
      <c r="H107" s="14">
        <f t="shared" si="4"/>
        <v>75.2</v>
      </c>
      <c r="I107" s="14">
        <f t="shared" si="5"/>
        <v>75.2</v>
      </c>
    </row>
    <row r="108" spans="2:9" ht="13.2">
      <c r="B108" t="s">
        <v>458</v>
      </c>
      <c r="C108" s="9" t="s">
        <v>8</v>
      </c>
      <c r="D108" s="20">
        <v>2030</v>
      </c>
      <c r="E108" s="9" t="s">
        <v>47</v>
      </c>
      <c r="F108" s="9" t="s">
        <v>71</v>
      </c>
      <c r="G108" s="30" t="s">
        <v>297</v>
      </c>
      <c r="H108" s="14">
        <f t="shared" si="4"/>
        <v>75.2</v>
      </c>
      <c r="I108" s="14">
        <f t="shared" si="5"/>
        <v>75.2</v>
      </c>
    </row>
    <row r="109" spans="2:9" ht="13.2">
      <c r="B109" t="s">
        <v>458</v>
      </c>
      <c r="C109" s="9" t="s">
        <v>8</v>
      </c>
      <c r="D109" s="20">
        <v>2031</v>
      </c>
      <c r="E109" s="9" t="s">
        <v>47</v>
      </c>
      <c r="F109" s="9" t="s">
        <v>71</v>
      </c>
      <c r="G109" s="30" t="s">
        <v>297</v>
      </c>
      <c r="H109" s="14">
        <f t="shared" si="4"/>
        <v>75.2</v>
      </c>
      <c r="I109" s="14">
        <f t="shared" si="5"/>
        <v>75.2</v>
      </c>
    </row>
    <row r="110" spans="2:9" ht="13.2">
      <c r="B110" t="s">
        <v>458</v>
      </c>
      <c r="C110" s="9" t="s">
        <v>8</v>
      </c>
      <c r="D110" s="20">
        <v>2032</v>
      </c>
      <c r="E110" s="9" t="s">
        <v>47</v>
      </c>
      <c r="F110" s="9" t="s">
        <v>71</v>
      </c>
      <c r="G110" s="30" t="s">
        <v>297</v>
      </c>
      <c r="H110" s="14">
        <f t="shared" si="4"/>
        <v>75.2</v>
      </c>
      <c r="I110" s="14">
        <f t="shared" si="5"/>
        <v>75.2</v>
      </c>
    </row>
    <row r="111" spans="2:9" ht="13.2">
      <c r="B111" t="s">
        <v>458</v>
      </c>
      <c r="C111" s="9" t="s">
        <v>8</v>
      </c>
      <c r="D111" s="20">
        <v>2033</v>
      </c>
      <c r="E111" s="9" t="s">
        <v>47</v>
      </c>
      <c r="F111" s="9" t="s">
        <v>71</v>
      </c>
      <c r="G111" s="30" t="s">
        <v>297</v>
      </c>
      <c r="H111" s="14">
        <f t="shared" si="4"/>
        <v>75.2</v>
      </c>
      <c r="I111" s="14">
        <f t="shared" si="5"/>
        <v>75.2</v>
      </c>
    </row>
    <row r="112" spans="2:9" ht="13.2">
      <c r="B112" t="s">
        <v>458</v>
      </c>
      <c r="C112" s="9" t="s">
        <v>8</v>
      </c>
      <c r="D112" s="20">
        <v>2034</v>
      </c>
      <c r="E112" s="9" t="s">
        <v>47</v>
      </c>
      <c r="F112" s="9" t="s">
        <v>71</v>
      </c>
      <c r="G112" s="30" t="s">
        <v>297</v>
      </c>
      <c r="H112" s="14">
        <f t="shared" si="4"/>
        <v>75.2</v>
      </c>
      <c r="I112" s="14">
        <f t="shared" si="5"/>
        <v>75.2</v>
      </c>
    </row>
    <row r="113" spans="2:9" ht="13.2">
      <c r="B113" t="s">
        <v>458</v>
      </c>
      <c r="C113" s="9" t="s">
        <v>8</v>
      </c>
      <c r="D113" s="20">
        <v>2035</v>
      </c>
      <c r="E113" s="9" t="s">
        <v>47</v>
      </c>
      <c r="F113" s="9" t="s">
        <v>71</v>
      </c>
      <c r="G113" s="30" t="s">
        <v>297</v>
      </c>
      <c r="H113" s="14">
        <f t="shared" si="4"/>
        <v>75.2</v>
      </c>
      <c r="I113" s="14">
        <f t="shared" si="5"/>
        <v>75.2</v>
      </c>
    </row>
    <row r="114" spans="2:9" ht="13.2">
      <c r="B114" t="s">
        <v>458</v>
      </c>
      <c r="C114" s="9" t="s">
        <v>8</v>
      </c>
      <c r="D114" s="20">
        <v>2036</v>
      </c>
      <c r="E114" s="9" t="s">
        <v>47</v>
      </c>
      <c r="F114" s="9" t="s">
        <v>71</v>
      </c>
      <c r="G114" s="30" t="s">
        <v>297</v>
      </c>
      <c r="H114" s="14">
        <f t="shared" si="4"/>
        <v>75.2</v>
      </c>
      <c r="I114" s="14">
        <f t="shared" si="5"/>
        <v>75.2</v>
      </c>
    </row>
    <row r="115" spans="2:9" ht="13.2">
      <c r="B115" t="s">
        <v>458</v>
      </c>
      <c r="C115" s="9" t="s">
        <v>8</v>
      </c>
      <c r="D115" s="20">
        <v>2037</v>
      </c>
      <c r="E115" s="9" t="s">
        <v>47</v>
      </c>
      <c r="F115" s="9" t="s">
        <v>71</v>
      </c>
      <c r="G115" s="30" t="s">
        <v>297</v>
      </c>
      <c r="H115" s="14">
        <f t="shared" si="4"/>
        <v>75.2</v>
      </c>
      <c r="I115" s="14">
        <f t="shared" si="5"/>
        <v>75.2</v>
      </c>
    </row>
    <row r="116" spans="2:9" ht="13.2">
      <c r="B116" t="s">
        <v>458</v>
      </c>
      <c r="C116" s="9" t="s">
        <v>8</v>
      </c>
      <c r="D116" s="20">
        <v>2038</v>
      </c>
      <c r="E116" s="9" t="s">
        <v>47</v>
      </c>
      <c r="F116" s="9" t="s">
        <v>71</v>
      </c>
      <c r="G116" s="30" t="s">
        <v>297</v>
      </c>
      <c r="H116" s="14">
        <f t="shared" si="4"/>
        <v>75.2</v>
      </c>
      <c r="I116" s="14">
        <f t="shared" si="5"/>
        <v>75.2</v>
      </c>
    </row>
    <row r="117" spans="2:9" ht="13.2">
      <c r="B117" t="s">
        <v>458</v>
      </c>
      <c r="C117" s="9" t="s">
        <v>8</v>
      </c>
      <c r="D117" s="20">
        <v>2039</v>
      </c>
      <c r="E117" s="9" t="s">
        <v>47</v>
      </c>
      <c r="F117" s="9" t="s">
        <v>71</v>
      </c>
      <c r="G117" s="30" t="s">
        <v>297</v>
      </c>
      <c r="H117" s="14">
        <f t="shared" si="4"/>
        <v>75.2</v>
      </c>
      <c r="I117" s="14">
        <f t="shared" si="5"/>
        <v>75.2</v>
      </c>
    </row>
    <row r="118" spans="2:9" ht="13.2">
      <c r="B118" t="s">
        <v>458</v>
      </c>
      <c r="C118" s="9" t="s">
        <v>8</v>
      </c>
      <c r="D118" s="20">
        <v>2040</v>
      </c>
      <c r="E118" s="9" t="s">
        <v>47</v>
      </c>
      <c r="F118" s="9" t="s">
        <v>71</v>
      </c>
      <c r="G118" s="30" t="s">
        <v>297</v>
      </c>
      <c r="H118" s="14">
        <f t="shared" si="4"/>
        <v>75.2</v>
      </c>
      <c r="I118" s="14">
        <f t="shared" si="5"/>
        <v>75.2</v>
      </c>
    </row>
    <row r="119" spans="2:9" ht="13.2">
      <c r="B119" t="s">
        <v>458</v>
      </c>
      <c r="C119" s="9" t="s">
        <v>8</v>
      </c>
      <c r="D119" s="20">
        <v>2041</v>
      </c>
      <c r="E119" s="9" t="s">
        <v>47</v>
      </c>
      <c r="F119" s="9" t="s">
        <v>71</v>
      </c>
      <c r="G119" s="30" t="s">
        <v>297</v>
      </c>
      <c r="H119" s="14">
        <f t="shared" si="4"/>
        <v>75.2</v>
      </c>
      <c r="I119" s="14">
        <f t="shared" si="5"/>
        <v>75.2</v>
      </c>
    </row>
    <row r="120" spans="2:9" ht="13.2">
      <c r="B120" t="s">
        <v>458</v>
      </c>
      <c r="C120" s="9" t="s">
        <v>8</v>
      </c>
      <c r="D120" s="20">
        <v>2042</v>
      </c>
      <c r="E120" s="9" t="s">
        <v>47</v>
      </c>
      <c r="F120" s="9" t="s">
        <v>71</v>
      </c>
      <c r="G120" s="30" t="s">
        <v>297</v>
      </c>
      <c r="H120" s="14">
        <f t="shared" si="4"/>
        <v>75.2</v>
      </c>
      <c r="I120" s="14">
        <f t="shared" si="5"/>
        <v>75.2</v>
      </c>
    </row>
    <row r="121" spans="2:9" ht="13.2">
      <c r="B121" t="s">
        <v>458</v>
      </c>
      <c r="C121" s="9" t="s">
        <v>8</v>
      </c>
      <c r="D121" s="20">
        <v>2043</v>
      </c>
      <c r="E121" s="9" t="s">
        <v>47</v>
      </c>
      <c r="F121" s="9" t="s">
        <v>71</v>
      </c>
      <c r="G121" s="30" t="s">
        <v>297</v>
      </c>
      <c r="H121" s="14">
        <f t="shared" si="4"/>
        <v>75.2</v>
      </c>
      <c r="I121" s="14">
        <f t="shared" si="5"/>
        <v>75.2</v>
      </c>
    </row>
    <row r="122" spans="2:9" ht="13.2">
      <c r="B122" t="s">
        <v>458</v>
      </c>
      <c r="C122" s="9" t="s">
        <v>8</v>
      </c>
      <c r="D122" s="20">
        <v>2044</v>
      </c>
      <c r="E122" s="9" t="s">
        <v>47</v>
      </c>
      <c r="F122" s="9" t="s">
        <v>71</v>
      </c>
      <c r="G122" s="30" t="s">
        <v>297</v>
      </c>
      <c r="H122" s="14">
        <f t="shared" si="4"/>
        <v>75.2</v>
      </c>
      <c r="I122" s="14">
        <f t="shared" si="5"/>
        <v>75.2</v>
      </c>
    </row>
    <row r="123" spans="2:9" ht="13.2">
      <c r="B123" t="s">
        <v>458</v>
      </c>
      <c r="C123" s="9" t="s">
        <v>8</v>
      </c>
      <c r="D123" s="20">
        <v>2045</v>
      </c>
      <c r="E123" s="9" t="s">
        <v>47</v>
      </c>
      <c r="F123" s="9" t="s">
        <v>71</v>
      </c>
      <c r="G123" s="30" t="s">
        <v>297</v>
      </c>
      <c r="H123" s="14">
        <f t="shared" si="4"/>
        <v>75.2</v>
      </c>
      <c r="I123" s="14">
        <f t="shared" si="5"/>
        <v>75.2</v>
      </c>
    </row>
    <row r="124" spans="2:9" ht="13.2">
      <c r="B124" t="s">
        <v>458</v>
      </c>
      <c r="C124" s="9" t="s">
        <v>8</v>
      </c>
      <c r="D124" s="20">
        <v>2046</v>
      </c>
      <c r="E124" s="9" t="s">
        <v>47</v>
      </c>
      <c r="F124" s="9" t="s">
        <v>71</v>
      </c>
      <c r="G124" s="30" t="s">
        <v>297</v>
      </c>
      <c r="H124" s="14">
        <f t="shared" si="4"/>
        <v>75.2</v>
      </c>
      <c r="I124" s="14">
        <f t="shared" si="5"/>
        <v>75.2</v>
      </c>
    </row>
    <row r="125" spans="2:9" ht="13.2">
      <c r="B125" t="s">
        <v>458</v>
      </c>
      <c r="C125" s="9" t="s">
        <v>8</v>
      </c>
      <c r="D125" s="20">
        <v>2047</v>
      </c>
      <c r="E125" s="9" t="s">
        <v>47</v>
      </c>
      <c r="F125" s="9" t="s">
        <v>71</v>
      </c>
      <c r="G125" s="30" t="s">
        <v>297</v>
      </c>
      <c r="H125" s="14">
        <f t="shared" si="4"/>
        <v>75.2</v>
      </c>
      <c r="I125" s="14">
        <f t="shared" si="5"/>
        <v>75.2</v>
      </c>
    </row>
    <row r="126" spans="2:9" ht="13.2">
      <c r="B126" t="s">
        <v>458</v>
      </c>
      <c r="C126" s="9" t="s">
        <v>8</v>
      </c>
      <c r="D126" s="20">
        <v>2048</v>
      </c>
      <c r="E126" s="9" t="s">
        <v>47</v>
      </c>
      <c r="F126" s="9" t="s">
        <v>71</v>
      </c>
      <c r="G126" s="30" t="s">
        <v>297</v>
      </c>
      <c r="H126" s="14">
        <f t="shared" si="4"/>
        <v>75.2</v>
      </c>
      <c r="I126" s="14">
        <f t="shared" si="5"/>
        <v>75.2</v>
      </c>
    </row>
    <row r="127" spans="2:9" ht="13.2">
      <c r="B127" t="s">
        <v>458</v>
      </c>
      <c r="C127" s="9" t="s">
        <v>8</v>
      </c>
      <c r="D127" s="20">
        <v>2049</v>
      </c>
      <c r="E127" s="9" t="s">
        <v>47</v>
      </c>
      <c r="F127" s="9" t="s">
        <v>71</v>
      </c>
      <c r="G127" s="30" t="s">
        <v>297</v>
      </c>
      <c r="H127" s="14">
        <f t="shared" si="4"/>
        <v>75.2</v>
      </c>
      <c r="I127" s="14">
        <f t="shared" si="5"/>
        <v>75.2</v>
      </c>
    </row>
    <row r="128" spans="2:9" ht="13.2">
      <c r="B128" t="s">
        <v>458</v>
      </c>
      <c r="C128" s="9" t="s">
        <v>8</v>
      </c>
      <c r="D128" s="20">
        <v>2050</v>
      </c>
      <c r="E128" s="9" t="s">
        <v>47</v>
      </c>
      <c r="F128" s="9" t="s">
        <v>71</v>
      </c>
      <c r="G128" s="30" t="s">
        <v>297</v>
      </c>
      <c r="H128" s="14">
        <f t="shared" si="4"/>
        <v>75.2</v>
      </c>
      <c r="I128" s="14">
        <f t="shared" si="5"/>
        <v>75.2</v>
      </c>
    </row>
    <row r="129" spans="2:9" ht="13.2">
      <c r="B129" t="s">
        <v>458</v>
      </c>
      <c r="C129" s="9" t="s">
        <v>8</v>
      </c>
      <c r="D129" s="20">
        <v>2010</v>
      </c>
      <c r="E129" s="9" t="s">
        <v>47</v>
      </c>
      <c r="F129" s="9" t="s">
        <v>9</v>
      </c>
      <c r="G129" s="30" t="s">
        <v>297</v>
      </c>
      <c r="H129" s="14">
        <f t="shared" si="4"/>
        <v>58.92580095566354</v>
      </c>
      <c r="I129" s="14">
        <f t="shared" si="5"/>
        <v>58.92580095566354</v>
      </c>
    </row>
    <row r="130" spans="2:9" ht="13.2">
      <c r="B130" t="s">
        <v>458</v>
      </c>
      <c r="C130" s="9" t="s">
        <v>8</v>
      </c>
      <c r="D130" s="20">
        <v>2011</v>
      </c>
      <c r="E130" s="9" t="s">
        <v>47</v>
      </c>
      <c r="F130" s="9" t="s">
        <v>9</v>
      </c>
      <c r="G130" s="30" t="s">
        <v>297</v>
      </c>
      <c r="H130" s="14">
        <f t="shared" si="4"/>
        <v>58.465930286829597</v>
      </c>
      <c r="I130" s="14">
        <f t="shared" si="5"/>
        <v>58.465930286829597</v>
      </c>
    </row>
    <row r="131" spans="2:9" ht="13.2">
      <c r="B131" t="s">
        <v>458</v>
      </c>
      <c r="C131" s="9" t="s">
        <v>8</v>
      </c>
      <c r="D131" s="20">
        <v>2012</v>
      </c>
      <c r="E131" s="9" t="s">
        <v>47</v>
      </c>
      <c r="F131" s="9" t="s">
        <v>9</v>
      </c>
      <c r="G131" s="30" t="s">
        <v>297</v>
      </c>
      <c r="H131" s="14">
        <f t="shared" si="4"/>
        <v>58.483957867379701</v>
      </c>
      <c r="I131" s="14">
        <f t="shared" si="5"/>
        <v>58.483957867379701</v>
      </c>
    </row>
    <row r="132" spans="2:9" ht="13.2">
      <c r="B132" t="s">
        <v>458</v>
      </c>
      <c r="C132" s="9" t="s">
        <v>8</v>
      </c>
      <c r="D132" s="20">
        <v>2013</v>
      </c>
      <c r="E132" s="9" t="s">
        <v>47</v>
      </c>
      <c r="F132" s="9" t="s">
        <v>9</v>
      </c>
      <c r="G132" s="30" t="s">
        <v>297</v>
      </c>
      <c r="H132" s="14">
        <f t="shared" si="4"/>
        <v>58.995998149242141</v>
      </c>
      <c r="I132" s="14">
        <f t="shared" si="5"/>
        <v>58.995998149242141</v>
      </c>
    </row>
    <row r="133" spans="2:9" ht="13.2">
      <c r="B133" t="s">
        <v>458</v>
      </c>
      <c r="C133" s="9" t="s">
        <v>8</v>
      </c>
      <c r="D133" s="20">
        <v>2014</v>
      </c>
      <c r="E133" s="9" t="s">
        <v>47</v>
      </c>
      <c r="F133" s="9" t="s">
        <v>9</v>
      </c>
      <c r="G133" s="30" t="s">
        <v>297</v>
      </c>
      <c r="H133" s="14">
        <f t="shared" si="4"/>
        <v>59.597657841140524</v>
      </c>
      <c r="I133" s="14">
        <f t="shared" si="5"/>
        <v>59.597657841140524</v>
      </c>
    </row>
    <row r="134" spans="2:9" ht="13.2">
      <c r="B134" t="s">
        <v>458</v>
      </c>
      <c r="C134" s="9" t="s">
        <v>8</v>
      </c>
      <c r="D134" s="20">
        <v>2015</v>
      </c>
      <c r="E134" s="9" t="s">
        <v>47</v>
      </c>
      <c r="F134" s="9" t="s">
        <v>9</v>
      </c>
      <c r="G134" s="30" t="s">
        <v>297</v>
      </c>
      <c r="H134" s="14">
        <f t="shared" si="4"/>
        <v>54.9</v>
      </c>
      <c r="I134" s="14">
        <f t="shared" si="5"/>
        <v>54.9</v>
      </c>
    </row>
    <row r="135" spans="2:9" ht="13.2">
      <c r="B135" t="s">
        <v>458</v>
      </c>
      <c r="C135" s="9" t="s">
        <v>8</v>
      </c>
      <c r="D135" s="20">
        <v>2016</v>
      </c>
      <c r="E135" s="9" t="s">
        <v>47</v>
      </c>
      <c r="F135" s="9" t="s">
        <v>9</v>
      </c>
      <c r="G135" s="30" t="s">
        <v>297</v>
      </c>
      <c r="H135" s="14">
        <f t="shared" si="4"/>
        <v>54.9</v>
      </c>
      <c r="I135" s="14">
        <f t="shared" si="5"/>
        <v>54.9</v>
      </c>
    </row>
    <row r="136" spans="2:9" ht="13.2">
      <c r="B136" t="s">
        <v>458</v>
      </c>
      <c r="C136" s="9" t="s">
        <v>8</v>
      </c>
      <c r="D136" s="20">
        <v>2017</v>
      </c>
      <c r="E136" s="9" t="s">
        <v>47</v>
      </c>
      <c r="F136" s="9" t="s">
        <v>9</v>
      </c>
      <c r="G136" s="30" t="s">
        <v>297</v>
      </c>
      <c r="H136" s="14">
        <f t="shared" si="4"/>
        <v>54.9</v>
      </c>
      <c r="I136" s="14">
        <f t="shared" si="5"/>
        <v>54.9</v>
      </c>
    </row>
    <row r="137" spans="2:9" ht="13.2">
      <c r="B137" t="s">
        <v>458</v>
      </c>
      <c r="C137" s="9" t="s">
        <v>8</v>
      </c>
      <c r="D137" s="20">
        <v>2018</v>
      </c>
      <c r="E137" s="9" t="s">
        <v>47</v>
      </c>
      <c r="F137" s="9" t="s">
        <v>9</v>
      </c>
      <c r="G137" s="30" t="s">
        <v>297</v>
      </c>
      <c r="H137" s="14">
        <f t="shared" si="4"/>
        <v>54.9</v>
      </c>
      <c r="I137" s="14">
        <f t="shared" si="5"/>
        <v>54.9</v>
      </c>
    </row>
    <row r="138" spans="2:9" ht="13.2">
      <c r="B138" t="s">
        <v>458</v>
      </c>
      <c r="C138" s="9" t="s">
        <v>8</v>
      </c>
      <c r="D138" s="20">
        <v>2019</v>
      </c>
      <c r="E138" s="9" t="s">
        <v>47</v>
      </c>
      <c r="F138" s="9" t="s">
        <v>9</v>
      </c>
      <c r="G138" s="30" t="s">
        <v>297</v>
      </c>
      <c r="H138" s="14">
        <f t="shared" si="4"/>
        <v>54.9</v>
      </c>
      <c r="I138" s="14">
        <f t="shared" si="5"/>
        <v>54.9</v>
      </c>
    </row>
    <row r="139" spans="2:9" ht="13.2">
      <c r="B139" t="s">
        <v>458</v>
      </c>
      <c r="C139" s="9" t="s">
        <v>8</v>
      </c>
      <c r="D139" s="20">
        <v>2020</v>
      </c>
      <c r="E139" s="9" t="s">
        <v>47</v>
      </c>
      <c r="F139" s="9" t="s">
        <v>9</v>
      </c>
      <c r="G139" s="30" t="s">
        <v>297</v>
      </c>
      <c r="H139" s="14">
        <f t="shared" si="4"/>
        <v>54.9</v>
      </c>
      <c r="I139" s="14">
        <f t="shared" si="5"/>
        <v>54.9</v>
      </c>
    </row>
    <row r="140" spans="2:9" ht="13.2">
      <c r="B140" t="s">
        <v>458</v>
      </c>
      <c r="C140" s="9" t="s">
        <v>8</v>
      </c>
      <c r="D140" s="20">
        <v>2021</v>
      </c>
      <c r="E140" s="9" t="s">
        <v>47</v>
      </c>
      <c r="F140" s="9" t="s">
        <v>9</v>
      </c>
      <c r="G140" s="30" t="s">
        <v>297</v>
      </c>
      <c r="H140" s="14">
        <f t="shared" si="4"/>
        <v>54.9</v>
      </c>
      <c r="I140" s="14">
        <f t="shared" si="5"/>
        <v>54.9</v>
      </c>
    </row>
    <row r="141" spans="2:9" ht="13.2">
      <c r="B141" t="s">
        <v>458</v>
      </c>
      <c r="C141" s="9" t="s">
        <v>8</v>
      </c>
      <c r="D141" s="20">
        <v>2022</v>
      </c>
      <c r="E141" s="9" t="s">
        <v>47</v>
      </c>
      <c r="F141" s="9" t="s">
        <v>9</v>
      </c>
      <c r="G141" s="30" t="s">
        <v>297</v>
      </c>
      <c r="H141" s="14">
        <f t="shared" si="4"/>
        <v>54.9</v>
      </c>
      <c r="I141" s="14">
        <f t="shared" si="5"/>
        <v>54.9</v>
      </c>
    </row>
    <row r="142" spans="2:9" ht="13.2">
      <c r="B142" t="s">
        <v>458</v>
      </c>
      <c r="C142" s="9" t="s">
        <v>8</v>
      </c>
      <c r="D142" s="20">
        <v>2023</v>
      </c>
      <c r="E142" s="9" t="s">
        <v>47</v>
      </c>
      <c r="F142" s="9" t="s">
        <v>9</v>
      </c>
      <c r="G142" s="30" t="s">
        <v>297</v>
      </c>
      <c r="H142" s="14">
        <f t="shared" si="4"/>
        <v>54.9</v>
      </c>
      <c r="I142" s="14">
        <f t="shared" si="5"/>
        <v>54.9</v>
      </c>
    </row>
    <row r="143" spans="2:9" ht="13.2">
      <c r="B143" t="s">
        <v>458</v>
      </c>
      <c r="C143" s="9" t="s">
        <v>8</v>
      </c>
      <c r="D143" s="20">
        <v>2024</v>
      </c>
      <c r="E143" s="9" t="s">
        <v>47</v>
      </c>
      <c r="F143" s="9" t="s">
        <v>9</v>
      </c>
      <c r="G143" s="30" t="s">
        <v>297</v>
      </c>
      <c r="H143" s="14">
        <f t="shared" si="4"/>
        <v>54.9</v>
      </c>
      <c r="I143" s="14">
        <f t="shared" si="5"/>
        <v>54.9</v>
      </c>
    </row>
    <row r="144" spans="2:9" ht="13.2">
      <c r="B144" t="s">
        <v>458</v>
      </c>
      <c r="C144" s="9" t="s">
        <v>8</v>
      </c>
      <c r="D144" s="20">
        <v>2025</v>
      </c>
      <c r="E144" s="9" t="s">
        <v>47</v>
      </c>
      <c r="F144" s="9" t="s">
        <v>9</v>
      </c>
      <c r="G144" s="30" t="s">
        <v>297</v>
      </c>
      <c r="H144" s="14">
        <f t="shared" si="4"/>
        <v>54.9</v>
      </c>
      <c r="I144" s="14">
        <f t="shared" si="5"/>
        <v>54.9</v>
      </c>
    </row>
    <row r="145" spans="2:9" ht="13.2">
      <c r="B145" t="s">
        <v>458</v>
      </c>
      <c r="C145" s="9" t="s">
        <v>8</v>
      </c>
      <c r="D145" s="20">
        <v>2026</v>
      </c>
      <c r="E145" s="9" t="s">
        <v>47</v>
      </c>
      <c r="F145" s="9" t="s">
        <v>9</v>
      </c>
      <c r="G145" s="30" t="s">
        <v>297</v>
      </c>
      <c r="H145" s="14">
        <f t="shared" si="4"/>
        <v>54.9</v>
      </c>
      <c r="I145" s="14">
        <f t="shared" si="5"/>
        <v>54.9</v>
      </c>
    </row>
    <row r="146" spans="2:9" ht="13.2">
      <c r="B146" t="s">
        <v>458</v>
      </c>
      <c r="C146" s="9" t="s">
        <v>8</v>
      </c>
      <c r="D146" s="20">
        <v>2027</v>
      </c>
      <c r="E146" s="9" t="s">
        <v>47</v>
      </c>
      <c r="F146" s="9" t="s">
        <v>9</v>
      </c>
      <c r="G146" s="30" t="s">
        <v>297</v>
      </c>
      <c r="H146" s="14">
        <f t="shared" si="4"/>
        <v>54.9</v>
      </c>
      <c r="I146" s="14">
        <f t="shared" si="5"/>
        <v>54.9</v>
      </c>
    </row>
    <row r="147" spans="2:9" ht="13.2">
      <c r="B147" t="s">
        <v>458</v>
      </c>
      <c r="C147" s="9" t="s">
        <v>8</v>
      </c>
      <c r="D147" s="20">
        <v>2028</v>
      </c>
      <c r="E147" s="9" t="s">
        <v>47</v>
      </c>
      <c r="F147" s="9" t="s">
        <v>9</v>
      </c>
      <c r="G147" s="30" t="s">
        <v>297</v>
      </c>
      <c r="H147" s="14">
        <f t="shared" si="4"/>
        <v>54.9</v>
      </c>
      <c r="I147" s="14">
        <f t="shared" si="5"/>
        <v>54.9</v>
      </c>
    </row>
    <row r="148" spans="2:9" ht="13.2">
      <c r="B148" t="s">
        <v>458</v>
      </c>
      <c r="C148" s="9" t="s">
        <v>8</v>
      </c>
      <c r="D148" s="20">
        <v>2029</v>
      </c>
      <c r="E148" s="9" t="s">
        <v>47</v>
      </c>
      <c r="F148" s="9" t="s">
        <v>9</v>
      </c>
      <c r="G148" s="30" t="s">
        <v>297</v>
      </c>
      <c r="H148" s="14">
        <f t="shared" si="4"/>
        <v>54.9</v>
      </c>
      <c r="I148" s="14">
        <f t="shared" si="5"/>
        <v>54.9</v>
      </c>
    </row>
    <row r="149" spans="2:9" ht="13.2">
      <c r="B149" t="s">
        <v>458</v>
      </c>
      <c r="C149" s="9" t="s">
        <v>8</v>
      </c>
      <c r="D149" s="20">
        <v>2030</v>
      </c>
      <c r="E149" s="9" t="s">
        <v>47</v>
      </c>
      <c r="F149" s="9" t="s">
        <v>9</v>
      </c>
      <c r="G149" s="30" t="s">
        <v>297</v>
      </c>
      <c r="H149" s="14">
        <f t="shared" si="4"/>
        <v>54.9</v>
      </c>
      <c r="I149" s="14">
        <f t="shared" si="5"/>
        <v>54.9</v>
      </c>
    </row>
    <row r="150" spans="2:9" ht="13.2">
      <c r="B150" t="s">
        <v>458</v>
      </c>
      <c r="C150" s="9" t="s">
        <v>8</v>
      </c>
      <c r="D150" s="20">
        <v>2031</v>
      </c>
      <c r="E150" s="9" t="s">
        <v>47</v>
      </c>
      <c r="F150" s="9" t="s">
        <v>9</v>
      </c>
      <c r="G150" s="30" t="s">
        <v>297</v>
      </c>
      <c r="H150" s="14">
        <f t="shared" si="4"/>
        <v>54.9</v>
      </c>
      <c r="I150" s="14">
        <f t="shared" si="5"/>
        <v>54.9</v>
      </c>
    </row>
    <row r="151" spans="2:9" ht="13.2">
      <c r="B151" t="s">
        <v>458</v>
      </c>
      <c r="C151" s="9" t="s">
        <v>8</v>
      </c>
      <c r="D151" s="20">
        <v>2032</v>
      </c>
      <c r="E151" s="9" t="s">
        <v>47</v>
      </c>
      <c r="F151" s="9" t="s">
        <v>9</v>
      </c>
      <c r="G151" s="30" t="s">
        <v>297</v>
      </c>
      <c r="H151" s="14">
        <f t="shared" si="4"/>
        <v>54.9</v>
      </c>
      <c r="I151" s="14">
        <f t="shared" si="5"/>
        <v>54.9</v>
      </c>
    </row>
    <row r="152" spans="2:9" ht="13.2">
      <c r="B152" t="s">
        <v>458</v>
      </c>
      <c r="C152" s="9" t="s">
        <v>8</v>
      </c>
      <c r="D152" s="20">
        <v>2033</v>
      </c>
      <c r="E152" s="9" t="s">
        <v>47</v>
      </c>
      <c r="F152" s="9" t="s">
        <v>9</v>
      </c>
      <c r="G152" s="30" t="s">
        <v>297</v>
      </c>
      <c r="H152" s="14">
        <f t="shared" si="4"/>
        <v>54.9</v>
      </c>
      <c r="I152" s="14">
        <f t="shared" si="5"/>
        <v>54.9</v>
      </c>
    </row>
    <row r="153" spans="2:9" ht="13.2">
      <c r="B153" t="s">
        <v>458</v>
      </c>
      <c r="C153" s="9" t="s">
        <v>8</v>
      </c>
      <c r="D153" s="20">
        <v>2034</v>
      </c>
      <c r="E153" s="9" t="s">
        <v>47</v>
      </c>
      <c r="F153" s="9" t="s">
        <v>9</v>
      </c>
      <c r="G153" s="30" t="s">
        <v>297</v>
      </c>
      <c r="H153" s="14">
        <f t="shared" si="4"/>
        <v>54.9</v>
      </c>
      <c r="I153" s="14">
        <f t="shared" si="5"/>
        <v>54.9</v>
      </c>
    </row>
    <row r="154" spans="2:9" ht="13.2">
      <c r="B154" t="s">
        <v>458</v>
      </c>
      <c r="C154" s="9" t="s">
        <v>8</v>
      </c>
      <c r="D154" s="20">
        <v>2035</v>
      </c>
      <c r="E154" s="9" t="s">
        <v>47</v>
      </c>
      <c r="F154" s="9" t="s">
        <v>9</v>
      </c>
      <c r="G154" s="30" t="s">
        <v>297</v>
      </c>
      <c r="H154" s="14">
        <f t="shared" si="4"/>
        <v>54.9</v>
      </c>
      <c r="I154" s="14">
        <f t="shared" si="5"/>
        <v>54.9</v>
      </c>
    </row>
    <row r="155" spans="2:9" ht="13.2">
      <c r="B155" t="s">
        <v>458</v>
      </c>
      <c r="C155" s="9" t="s">
        <v>8</v>
      </c>
      <c r="D155" s="20">
        <v>2036</v>
      </c>
      <c r="E155" s="9" t="s">
        <v>47</v>
      </c>
      <c r="F155" s="9" t="s">
        <v>9</v>
      </c>
      <c r="G155" s="30" t="s">
        <v>297</v>
      </c>
      <c r="H155" s="14">
        <f t="shared" si="4"/>
        <v>54.9</v>
      </c>
      <c r="I155" s="14">
        <f t="shared" si="5"/>
        <v>54.9</v>
      </c>
    </row>
    <row r="156" spans="2:9" ht="13.2">
      <c r="B156" t="s">
        <v>458</v>
      </c>
      <c r="C156" s="9" t="s">
        <v>8</v>
      </c>
      <c r="D156" s="20">
        <v>2037</v>
      </c>
      <c r="E156" s="9" t="s">
        <v>47</v>
      </c>
      <c r="F156" s="9" t="s">
        <v>9</v>
      </c>
      <c r="G156" s="30" t="s">
        <v>297</v>
      </c>
      <c r="H156" s="14">
        <f t="shared" si="4"/>
        <v>54.9</v>
      </c>
      <c r="I156" s="14">
        <f t="shared" si="5"/>
        <v>54.9</v>
      </c>
    </row>
    <row r="157" spans="2:9" ht="13.2">
      <c r="B157" t="s">
        <v>458</v>
      </c>
      <c r="C157" s="9" t="s">
        <v>8</v>
      </c>
      <c r="D157" s="20">
        <v>2038</v>
      </c>
      <c r="E157" s="9" t="s">
        <v>47</v>
      </c>
      <c r="F157" s="9" t="s">
        <v>9</v>
      </c>
      <c r="G157" s="30" t="s">
        <v>297</v>
      </c>
      <c r="H157" s="14">
        <f t="shared" si="4"/>
        <v>54.9</v>
      </c>
      <c r="I157" s="14">
        <f t="shared" si="5"/>
        <v>54.9</v>
      </c>
    </row>
    <row r="158" spans="2:9" ht="13.2">
      <c r="B158" t="s">
        <v>458</v>
      </c>
      <c r="C158" s="9" t="s">
        <v>8</v>
      </c>
      <c r="D158" s="20">
        <v>2039</v>
      </c>
      <c r="E158" s="9" t="s">
        <v>47</v>
      </c>
      <c r="F158" s="9" t="s">
        <v>9</v>
      </c>
      <c r="G158" s="30" t="s">
        <v>297</v>
      </c>
      <c r="H158" s="14">
        <f t="shared" si="4"/>
        <v>54.9</v>
      </c>
      <c r="I158" s="14">
        <f t="shared" si="5"/>
        <v>54.9</v>
      </c>
    </row>
    <row r="159" spans="2:9" ht="13.2">
      <c r="B159" t="s">
        <v>458</v>
      </c>
      <c r="C159" s="9" t="s">
        <v>8</v>
      </c>
      <c r="D159" s="20">
        <v>2040</v>
      </c>
      <c r="E159" s="9" t="s">
        <v>47</v>
      </c>
      <c r="F159" s="9" t="s">
        <v>9</v>
      </c>
      <c r="G159" s="30" t="s">
        <v>297</v>
      </c>
      <c r="H159" s="14">
        <f t="shared" si="4"/>
        <v>54.9</v>
      </c>
      <c r="I159" s="14">
        <f t="shared" si="5"/>
        <v>54.9</v>
      </c>
    </row>
    <row r="160" spans="2:9" ht="13.2">
      <c r="B160" t="s">
        <v>458</v>
      </c>
      <c r="C160" s="9" t="s">
        <v>8</v>
      </c>
      <c r="D160" s="20">
        <v>2041</v>
      </c>
      <c r="E160" s="9" t="s">
        <v>47</v>
      </c>
      <c r="F160" s="9" t="s">
        <v>9</v>
      </c>
      <c r="G160" s="30" t="s">
        <v>297</v>
      </c>
      <c r="H160" s="14">
        <f t="shared" si="4"/>
        <v>54.9</v>
      </c>
      <c r="I160" s="14">
        <f t="shared" si="5"/>
        <v>54.9</v>
      </c>
    </row>
    <row r="161" spans="2:9" ht="13.2">
      <c r="B161" t="s">
        <v>458</v>
      </c>
      <c r="C161" s="9" t="s">
        <v>8</v>
      </c>
      <c r="D161" s="20">
        <v>2042</v>
      </c>
      <c r="E161" s="9" t="s">
        <v>47</v>
      </c>
      <c r="F161" s="9" t="s">
        <v>9</v>
      </c>
      <c r="G161" s="30" t="s">
        <v>297</v>
      </c>
      <c r="H161" s="14">
        <f t="shared" si="4"/>
        <v>54.9</v>
      </c>
      <c r="I161" s="14">
        <f t="shared" si="5"/>
        <v>54.9</v>
      </c>
    </row>
    <row r="162" spans="2:9" ht="13.2">
      <c r="B162" t="s">
        <v>458</v>
      </c>
      <c r="C162" s="9" t="s">
        <v>8</v>
      </c>
      <c r="D162" s="20">
        <v>2043</v>
      </c>
      <c r="E162" s="9" t="s">
        <v>47</v>
      </c>
      <c r="F162" s="9" t="s">
        <v>9</v>
      </c>
      <c r="G162" s="30" t="s">
        <v>297</v>
      </c>
      <c r="H162" s="14">
        <f t="shared" si="4"/>
        <v>54.9</v>
      </c>
      <c r="I162" s="14">
        <f t="shared" si="5"/>
        <v>54.9</v>
      </c>
    </row>
    <row r="163" spans="2:9" ht="13.2">
      <c r="B163" t="s">
        <v>458</v>
      </c>
      <c r="C163" s="9" t="s">
        <v>8</v>
      </c>
      <c r="D163" s="20">
        <v>2044</v>
      </c>
      <c r="E163" s="9" t="s">
        <v>47</v>
      </c>
      <c r="F163" s="9" t="s">
        <v>9</v>
      </c>
      <c r="G163" s="30" t="s">
        <v>297</v>
      </c>
      <c r="H163" s="14">
        <f t="shared" si="4"/>
        <v>54.9</v>
      </c>
      <c r="I163" s="14">
        <f t="shared" si="5"/>
        <v>54.9</v>
      </c>
    </row>
    <row r="164" spans="2:9" ht="13.2">
      <c r="B164" t="s">
        <v>458</v>
      </c>
      <c r="C164" s="9" t="s">
        <v>8</v>
      </c>
      <c r="D164" s="20">
        <v>2045</v>
      </c>
      <c r="E164" s="9" t="s">
        <v>47</v>
      </c>
      <c r="F164" s="9" t="s">
        <v>9</v>
      </c>
      <c r="G164" s="30" t="s">
        <v>297</v>
      </c>
      <c r="H164" s="14">
        <f t="shared" si="4"/>
        <v>54.9</v>
      </c>
      <c r="I164" s="14">
        <f t="shared" si="5"/>
        <v>54.9</v>
      </c>
    </row>
    <row r="165" spans="2:9" ht="13.2">
      <c r="B165" t="s">
        <v>458</v>
      </c>
      <c r="C165" s="9" t="s">
        <v>8</v>
      </c>
      <c r="D165" s="20">
        <v>2046</v>
      </c>
      <c r="E165" s="9" t="s">
        <v>47</v>
      </c>
      <c r="F165" s="9" t="s">
        <v>9</v>
      </c>
      <c r="G165" s="30" t="s">
        <v>297</v>
      </c>
      <c r="H165" s="14">
        <f t="shared" si="4"/>
        <v>54.9</v>
      </c>
      <c r="I165" s="14">
        <f t="shared" si="5"/>
        <v>54.9</v>
      </c>
    </row>
    <row r="166" spans="2:9" ht="13.2">
      <c r="B166" t="s">
        <v>458</v>
      </c>
      <c r="C166" s="9" t="s">
        <v>8</v>
      </c>
      <c r="D166" s="20">
        <v>2047</v>
      </c>
      <c r="E166" s="9" t="s">
        <v>47</v>
      </c>
      <c r="F166" s="9" t="s">
        <v>9</v>
      </c>
      <c r="G166" s="30" t="s">
        <v>297</v>
      </c>
      <c r="H166" s="14">
        <f t="shared" ref="H166:H229" si="6">HLOOKUP(F166,FuelTax2,D166-2006,FALSE)</f>
        <v>54.9</v>
      </c>
      <c r="I166" s="14">
        <f t="shared" ref="I166:I229" si="7">H166</f>
        <v>54.9</v>
      </c>
    </row>
    <row r="167" spans="2:9" ht="13.2">
      <c r="B167" t="s">
        <v>458</v>
      </c>
      <c r="C167" s="9" t="s">
        <v>8</v>
      </c>
      <c r="D167" s="20">
        <v>2048</v>
      </c>
      <c r="E167" s="9" t="s">
        <v>47</v>
      </c>
      <c r="F167" s="9" t="s">
        <v>9</v>
      </c>
      <c r="G167" s="30" t="s">
        <v>297</v>
      </c>
      <c r="H167" s="14">
        <f t="shared" si="6"/>
        <v>54.9</v>
      </c>
      <c r="I167" s="14">
        <f t="shared" si="7"/>
        <v>54.9</v>
      </c>
    </row>
    <row r="168" spans="2:9" ht="13.2">
      <c r="B168" t="s">
        <v>458</v>
      </c>
      <c r="C168" s="9" t="s">
        <v>8</v>
      </c>
      <c r="D168" s="20">
        <v>2049</v>
      </c>
      <c r="E168" s="9" t="s">
        <v>47</v>
      </c>
      <c r="F168" s="9" t="s">
        <v>9</v>
      </c>
      <c r="G168" s="30" t="s">
        <v>297</v>
      </c>
      <c r="H168" s="14">
        <f t="shared" si="6"/>
        <v>54.9</v>
      </c>
      <c r="I168" s="14">
        <f t="shared" si="7"/>
        <v>54.9</v>
      </c>
    </row>
    <row r="169" spans="2:9" ht="13.2">
      <c r="B169" t="s">
        <v>458</v>
      </c>
      <c r="C169" s="9" t="s">
        <v>8</v>
      </c>
      <c r="D169" s="20">
        <v>2050</v>
      </c>
      <c r="E169" s="9" t="s">
        <v>47</v>
      </c>
      <c r="F169" s="9" t="s">
        <v>9</v>
      </c>
      <c r="G169" s="30" t="s">
        <v>297</v>
      </c>
      <c r="H169" s="14">
        <f t="shared" si="6"/>
        <v>54.9</v>
      </c>
      <c r="I169" s="14">
        <f t="shared" si="7"/>
        <v>54.9</v>
      </c>
    </row>
    <row r="170" spans="2:9" ht="13.2">
      <c r="B170" t="s">
        <v>458</v>
      </c>
      <c r="C170" s="9" t="s">
        <v>8</v>
      </c>
      <c r="D170" s="20">
        <v>2010</v>
      </c>
      <c r="E170" s="9" t="s">
        <v>47</v>
      </c>
      <c r="F170" s="9" t="s">
        <v>51</v>
      </c>
      <c r="G170" s="30" t="s">
        <v>297</v>
      </c>
      <c r="H170" s="14">
        <f t="shared" si="6"/>
        <v>58.92580095566354</v>
      </c>
      <c r="I170" s="14">
        <f t="shared" si="7"/>
        <v>58.92580095566354</v>
      </c>
    </row>
    <row r="171" spans="2:9" ht="13.2">
      <c r="B171" t="s">
        <v>458</v>
      </c>
      <c r="C171" s="9" t="s">
        <v>8</v>
      </c>
      <c r="D171" s="20">
        <v>2011</v>
      </c>
      <c r="E171" s="9" t="s">
        <v>47</v>
      </c>
      <c r="F171" s="9" t="s">
        <v>51</v>
      </c>
      <c r="G171" s="30" t="s">
        <v>297</v>
      </c>
      <c r="H171" s="14">
        <f t="shared" si="6"/>
        <v>58.465930286829597</v>
      </c>
      <c r="I171" s="14">
        <f t="shared" si="7"/>
        <v>58.465930286829597</v>
      </c>
    </row>
    <row r="172" spans="2:9" ht="13.2">
      <c r="B172" t="s">
        <v>458</v>
      </c>
      <c r="C172" s="9" t="s">
        <v>8</v>
      </c>
      <c r="D172" s="20">
        <v>2012</v>
      </c>
      <c r="E172" s="9" t="s">
        <v>47</v>
      </c>
      <c r="F172" s="9" t="s">
        <v>51</v>
      </c>
      <c r="G172" s="30" t="s">
        <v>297</v>
      </c>
      <c r="H172" s="14">
        <f t="shared" si="6"/>
        <v>58.483957867379701</v>
      </c>
      <c r="I172" s="14">
        <f t="shared" si="7"/>
        <v>58.483957867379701</v>
      </c>
    </row>
    <row r="173" spans="2:9" ht="13.2">
      <c r="B173" t="s">
        <v>458</v>
      </c>
      <c r="C173" s="9" t="s">
        <v>8</v>
      </c>
      <c r="D173" s="20">
        <v>2013</v>
      </c>
      <c r="E173" s="9" t="s">
        <v>47</v>
      </c>
      <c r="F173" s="9" t="s">
        <v>51</v>
      </c>
      <c r="G173" s="30" t="s">
        <v>297</v>
      </c>
      <c r="H173" s="14">
        <f t="shared" si="6"/>
        <v>58.995998149242141</v>
      </c>
      <c r="I173" s="14">
        <f t="shared" si="7"/>
        <v>58.995998149242141</v>
      </c>
    </row>
    <row r="174" spans="2:9" ht="13.2">
      <c r="B174" t="s">
        <v>458</v>
      </c>
      <c r="C174" s="9" t="s">
        <v>8</v>
      </c>
      <c r="D174" s="20">
        <v>2014</v>
      </c>
      <c r="E174" s="9" t="s">
        <v>47</v>
      </c>
      <c r="F174" s="9" t="s">
        <v>51</v>
      </c>
      <c r="G174" s="30" t="s">
        <v>297</v>
      </c>
      <c r="H174" s="14">
        <f t="shared" si="6"/>
        <v>59.597657841140524</v>
      </c>
      <c r="I174" s="14">
        <f t="shared" si="7"/>
        <v>59.597657841140524</v>
      </c>
    </row>
    <row r="175" spans="2:9" ht="13.2">
      <c r="B175" t="s">
        <v>458</v>
      </c>
      <c r="C175" s="9" t="s">
        <v>8</v>
      </c>
      <c r="D175" s="20">
        <v>2015</v>
      </c>
      <c r="E175" s="9" t="s">
        <v>47</v>
      </c>
      <c r="F175" s="9" t="s">
        <v>51</v>
      </c>
      <c r="G175" s="30" t="s">
        <v>297</v>
      </c>
      <c r="H175" s="14">
        <f t="shared" si="6"/>
        <v>54.9</v>
      </c>
      <c r="I175" s="14">
        <f t="shared" si="7"/>
        <v>54.9</v>
      </c>
    </row>
    <row r="176" spans="2:9" ht="13.2">
      <c r="B176" t="s">
        <v>458</v>
      </c>
      <c r="C176" s="9" t="s">
        <v>8</v>
      </c>
      <c r="D176" s="20">
        <v>2016</v>
      </c>
      <c r="E176" s="9" t="s">
        <v>47</v>
      </c>
      <c r="F176" s="9" t="s">
        <v>51</v>
      </c>
      <c r="G176" s="30" t="s">
        <v>297</v>
      </c>
      <c r="H176" s="14">
        <f t="shared" si="6"/>
        <v>54.9</v>
      </c>
      <c r="I176" s="14">
        <f t="shared" si="7"/>
        <v>54.9</v>
      </c>
    </row>
    <row r="177" spans="2:9" ht="13.2">
      <c r="B177" t="s">
        <v>458</v>
      </c>
      <c r="C177" s="9" t="s">
        <v>8</v>
      </c>
      <c r="D177" s="20">
        <v>2017</v>
      </c>
      <c r="E177" s="9" t="s">
        <v>47</v>
      </c>
      <c r="F177" s="9" t="s">
        <v>51</v>
      </c>
      <c r="G177" s="30" t="s">
        <v>297</v>
      </c>
      <c r="H177" s="14">
        <f t="shared" si="6"/>
        <v>54.9</v>
      </c>
      <c r="I177" s="14">
        <f t="shared" si="7"/>
        <v>54.9</v>
      </c>
    </row>
    <row r="178" spans="2:9" ht="13.2">
      <c r="B178" t="s">
        <v>458</v>
      </c>
      <c r="C178" s="9" t="s">
        <v>8</v>
      </c>
      <c r="D178" s="20">
        <v>2018</v>
      </c>
      <c r="E178" s="9" t="s">
        <v>47</v>
      </c>
      <c r="F178" s="9" t="s">
        <v>51</v>
      </c>
      <c r="G178" s="30" t="s">
        <v>297</v>
      </c>
      <c r="H178" s="14">
        <f t="shared" si="6"/>
        <v>54.9</v>
      </c>
      <c r="I178" s="14">
        <f t="shared" si="7"/>
        <v>54.9</v>
      </c>
    </row>
    <row r="179" spans="2:9" ht="13.2">
      <c r="B179" t="s">
        <v>458</v>
      </c>
      <c r="C179" s="9" t="s">
        <v>8</v>
      </c>
      <c r="D179" s="20">
        <v>2019</v>
      </c>
      <c r="E179" s="9" t="s">
        <v>47</v>
      </c>
      <c r="F179" s="9" t="s">
        <v>51</v>
      </c>
      <c r="G179" s="30" t="s">
        <v>297</v>
      </c>
      <c r="H179" s="14">
        <f t="shared" si="6"/>
        <v>54.9</v>
      </c>
      <c r="I179" s="14">
        <f t="shared" si="7"/>
        <v>54.9</v>
      </c>
    </row>
    <row r="180" spans="2:9" ht="13.2">
      <c r="B180" t="s">
        <v>458</v>
      </c>
      <c r="C180" s="9" t="s">
        <v>8</v>
      </c>
      <c r="D180" s="20">
        <v>2020</v>
      </c>
      <c r="E180" s="9" t="s">
        <v>47</v>
      </c>
      <c r="F180" s="9" t="s">
        <v>51</v>
      </c>
      <c r="G180" s="30" t="s">
        <v>297</v>
      </c>
      <c r="H180" s="14">
        <f t="shared" si="6"/>
        <v>54.9</v>
      </c>
      <c r="I180" s="14">
        <f t="shared" si="7"/>
        <v>54.9</v>
      </c>
    </row>
    <row r="181" spans="2:9" ht="13.2">
      <c r="B181" t="s">
        <v>458</v>
      </c>
      <c r="C181" s="9" t="s">
        <v>8</v>
      </c>
      <c r="D181" s="20">
        <v>2021</v>
      </c>
      <c r="E181" s="9" t="s">
        <v>47</v>
      </c>
      <c r="F181" s="9" t="s">
        <v>51</v>
      </c>
      <c r="G181" s="30" t="s">
        <v>297</v>
      </c>
      <c r="H181" s="14">
        <f t="shared" si="6"/>
        <v>54.9</v>
      </c>
      <c r="I181" s="14">
        <f t="shared" si="7"/>
        <v>54.9</v>
      </c>
    </row>
    <row r="182" spans="2:9" ht="13.2">
      <c r="B182" t="s">
        <v>458</v>
      </c>
      <c r="C182" s="9" t="s">
        <v>8</v>
      </c>
      <c r="D182" s="20">
        <v>2022</v>
      </c>
      <c r="E182" s="9" t="s">
        <v>47</v>
      </c>
      <c r="F182" s="9" t="s">
        <v>51</v>
      </c>
      <c r="G182" s="30" t="s">
        <v>297</v>
      </c>
      <c r="H182" s="14">
        <f t="shared" si="6"/>
        <v>54.9</v>
      </c>
      <c r="I182" s="14">
        <f t="shared" si="7"/>
        <v>54.9</v>
      </c>
    </row>
    <row r="183" spans="2:9" ht="13.2">
      <c r="B183" t="s">
        <v>458</v>
      </c>
      <c r="C183" s="9" t="s">
        <v>8</v>
      </c>
      <c r="D183" s="20">
        <v>2023</v>
      </c>
      <c r="E183" s="9" t="s">
        <v>47</v>
      </c>
      <c r="F183" s="9" t="s">
        <v>51</v>
      </c>
      <c r="G183" s="30" t="s">
        <v>297</v>
      </c>
      <c r="H183" s="14">
        <f t="shared" si="6"/>
        <v>54.9</v>
      </c>
      <c r="I183" s="14">
        <f t="shared" si="7"/>
        <v>54.9</v>
      </c>
    </row>
    <row r="184" spans="2:9" ht="13.2">
      <c r="B184" t="s">
        <v>458</v>
      </c>
      <c r="C184" s="9" t="s">
        <v>8</v>
      </c>
      <c r="D184" s="20">
        <v>2024</v>
      </c>
      <c r="E184" s="9" t="s">
        <v>47</v>
      </c>
      <c r="F184" s="9" t="s">
        <v>51</v>
      </c>
      <c r="G184" s="30" t="s">
        <v>297</v>
      </c>
      <c r="H184" s="14">
        <f t="shared" si="6"/>
        <v>54.9</v>
      </c>
      <c r="I184" s="14">
        <f t="shared" si="7"/>
        <v>54.9</v>
      </c>
    </row>
    <row r="185" spans="2:9" ht="13.2">
      <c r="B185" t="s">
        <v>458</v>
      </c>
      <c r="C185" s="9" t="s">
        <v>8</v>
      </c>
      <c r="D185" s="20">
        <v>2025</v>
      </c>
      <c r="E185" s="9" t="s">
        <v>47</v>
      </c>
      <c r="F185" s="9" t="s">
        <v>51</v>
      </c>
      <c r="G185" s="30" t="s">
        <v>297</v>
      </c>
      <c r="H185" s="14">
        <f t="shared" si="6"/>
        <v>54.9</v>
      </c>
      <c r="I185" s="14">
        <f t="shared" si="7"/>
        <v>54.9</v>
      </c>
    </row>
    <row r="186" spans="2:9" ht="13.2">
      <c r="B186" t="s">
        <v>458</v>
      </c>
      <c r="C186" s="9" t="s">
        <v>8</v>
      </c>
      <c r="D186" s="20">
        <v>2026</v>
      </c>
      <c r="E186" s="9" t="s">
        <v>47</v>
      </c>
      <c r="F186" s="9" t="s">
        <v>51</v>
      </c>
      <c r="G186" s="30" t="s">
        <v>297</v>
      </c>
      <c r="H186" s="14">
        <f t="shared" si="6"/>
        <v>54.9</v>
      </c>
      <c r="I186" s="14">
        <f t="shared" si="7"/>
        <v>54.9</v>
      </c>
    </row>
    <row r="187" spans="2:9" ht="13.2">
      <c r="B187" t="s">
        <v>458</v>
      </c>
      <c r="C187" s="9" t="s">
        <v>8</v>
      </c>
      <c r="D187" s="20">
        <v>2027</v>
      </c>
      <c r="E187" s="9" t="s">
        <v>47</v>
      </c>
      <c r="F187" s="9" t="s">
        <v>51</v>
      </c>
      <c r="G187" s="30" t="s">
        <v>297</v>
      </c>
      <c r="H187" s="14">
        <f t="shared" si="6"/>
        <v>54.9</v>
      </c>
      <c r="I187" s="14">
        <f t="shared" si="7"/>
        <v>54.9</v>
      </c>
    </row>
    <row r="188" spans="2:9" ht="13.2">
      <c r="B188" t="s">
        <v>458</v>
      </c>
      <c r="C188" s="9" t="s">
        <v>8</v>
      </c>
      <c r="D188" s="20">
        <v>2028</v>
      </c>
      <c r="E188" s="9" t="s">
        <v>47</v>
      </c>
      <c r="F188" s="9" t="s">
        <v>51</v>
      </c>
      <c r="G188" s="30" t="s">
        <v>297</v>
      </c>
      <c r="H188" s="14">
        <f t="shared" si="6"/>
        <v>54.9</v>
      </c>
      <c r="I188" s="14">
        <f t="shared" si="7"/>
        <v>54.9</v>
      </c>
    </row>
    <row r="189" spans="2:9" ht="13.2">
      <c r="B189" t="s">
        <v>458</v>
      </c>
      <c r="C189" s="9" t="s">
        <v>8</v>
      </c>
      <c r="D189" s="20">
        <v>2029</v>
      </c>
      <c r="E189" s="9" t="s">
        <v>47</v>
      </c>
      <c r="F189" s="9" t="s">
        <v>51</v>
      </c>
      <c r="G189" s="30" t="s">
        <v>297</v>
      </c>
      <c r="H189" s="14">
        <f t="shared" si="6"/>
        <v>54.9</v>
      </c>
      <c r="I189" s="14">
        <f t="shared" si="7"/>
        <v>54.9</v>
      </c>
    </row>
    <row r="190" spans="2:9" ht="13.2">
      <c r="B190" t="s">
        <v>458</v>
      </c>
      <c r="C190" s="9" t="s">
        <v>8</v>
      </c>
      <c r="D190" s="20">
        <v>2030</v>
      </c>
      <c r="E190" s="9" t="s">
        <v>47</v>
      </c>
      <c r="F190" s="9" t="s">
        <v>51</v>
      </c>
      <c r="G190" s="30" t="s">
        <v>297</v>
      </c>
      <c r="H190" s="14">
        <f t="shared" si="6"/>
        <v>54.9</v>
      </c>
      <c r="I190" s="14">
        <f t="shared" si="7"/>
        <v>54.9</v>
      </c>
    </row>
    <row r="191" spans="2:9" ht="13.2">
      <c r="B191" t="s">
        <v>458</v>
      </c>
      <c r="C191" s="9" t="s">
        <v>8</v>
      </c>
      <c r="D191" s="20">
        <v>2031</v>
      </c>
      <c r="E191" s="9" t="s">
        <v>47</v>
      </c>
      <c r="F191" s="9" t="s">
        <v>51</v>
      </c>
      <c r="G191" s="30" t="s">
        <v>297</v>
      </c>
      <c r="H191" s="14">
        <f t="shared" si="6"/>
        <v>54.9</v>
      </c>
      <c r="I191" s="14">
        <f t="shared" si="7"/>
        <v>54.9</v>
      </c>
    </row>
    <row r="192" spans="2:9" ht="13.2">
      <c r="B192" t="s">
        <v>458</v>
      </c>
      <c r="C192" s="9" t="s">
        <v>8</v>
      </c>
      <c r="D192" s="20">
        <v>2032</v>
      </c>
      <c r="E192" s="9" t="s">
        <v>47</v>
      </c>
      <c r="F192" s="9" t="s">
        <v>51</v>
      </c>
      <c r="G192" s="30" t="s">
        <v>297</v>
      </c>
      <c r="H192" s="14">
        <f t="shared" si="6"/>
        <v>54.9</v>
      </c>
      <c r="I192" s="14">
        <f t="shared" si="7"/>
        <v>54.9</v>
      </c>
    </row>
    <row r="193" spans="2:9" ht="13.2">
      <c r="B193" t="s">
        <v>458</v>
      </c>
      <c r="C193" s="9" t="s">
        <v>8</v>
      </c>
      <c r="D193" s="20">
        <v>2033</v>
      </c>
      <c r="E193" s="9" t="s">
        <v>47</v>
      </c>
      <c r="F193" s="9" t="s">
        <v>51</v>
      </c>
      <c r="G193" s="30" t="s">
        <v>297</v>
      </c>
      <c r="H193" s="14">
        <f t="shared" si="6"/>
        <v>54.9</v>
      </c>
      <c r="I193" s="14">
        <f t="shared" si="7"/>
        <v>54.9</v>
      </c>
    </row>
    <row r="194" spans="2:9" ht="13.2">
      <c r="B194" t="s">
        <v>458</v>
      </c>
      <c r="C194" s="9" t="s">
        <v>8</v>
      </c>
      <c r="D194" s="20">
        <v>2034</v>
      </c>
      <c r="E194" s="9" t="s">
        <v>47</v>
      </c>
      <c r="F194" s="9" t="s">
        <v>51</v>
      </c>
      <c r="G194" s="30" t="s">
        <v>297</v>
      </c>
      <c r="H194" s="14">
        <f t="shared" si="6"/>
        <v>54.9</v>
      </c>
      <c r="I194" s="14">
        <f t="shared" si="7"/>
        <v>54.9</v>
      </c>
    </row>
    <row r="195" spans="2:9" ht="13.2">
      <c r="B195" t="s">
        <v>458</v>
      </c>
      <c r="C195" s="9" t="s">
        <v>8</v>
      </c>
      <c r="D195" s="20">
        <v>2035</v>
      </c>
      <c r="E195" s="9" t="s">
        <v>47</v>
      </c>
      <c r="F195" s="9" t="s">
        <v>51</v>
      </c>
      <c r="G195" s="30" t="s">
        <v>297</v>
      </c>
      <c r="H195" s="14">
        <f t="shared" si="6"/>
        <v>54.9</v>
      </c>
      <c r="I195" s="14">
        <f t="shared" si="7"/>
        <v>54.9</v>
      </c>
    </row>
    <row r="196" spans="2:9" ht="13.2">
      <c r="B196" t="s">
        <v>458</v>
      </c>
      <c r="C196" s="9" t="s">
        <v>8</v>
      </c>
      <c r="D196" s="20">
        <v>2036</v>
      </c>
      <c r="E196" s="9" t="s">
        <v>47</v>
      </c>
      <c r="F196" s="9" t="s">
        <v>51</v>
      </c>
      <c r="G196" s="30" t="s">
        <v>297</v>
      </c>
      <c r="H196" s="14">
        <f t="shared" si="6"/>
        <v>54.9</v>
      </c>
      <c r="I196" s="14">
        <f t="shared" si="7"/>
        <v>54.9</v>
      </c>
    </row>
    <row r="197" spans="2:9" ht="13.2">
      <c r="B197" t="s">
        <v>458</v>
      </c>
      <c r="C197" s="9" t="s">
        <v>8</v>
      </c>
      <c r="D197" s="20">
        <v>2037</v>
      </c>
      <c r="E197" s="9" t="s">
        <v>47</v>
      </c>
      <c r="F197" s="9" t="s">
        <v>51</v>
      </c>
      <c r="G197" s="30" t="s">
        <v>297</v>
      </c>
      <c r="H197" s="14">
        <f t="shared" si="6"/>
        <v>54.9</v>
      </c>
      <c r="I197" s="14">
        <f t="shared" si="7"/>
        <v>54.9</v>
      </c>
    </row>
    <row r="198" spans="2:9" ht="13.2">
      <c r="B198" t="s">
        <v>458</v>
      </c>
      <c r="C198" s="9" t="s">
        <v>8</v>
      </c>
      <c r="D198" s="20">
        <v>2038</v>
      </c>
      <c r="E198" s="9" t="s">
        <v>47</v>
      </c>
      <c r="F198" s="9" t="s">
        <v>51</v>
      </c>
      <c r="G198" s="30" t="s">
        <v>297</v>
      </c>
      <c r="H198" s="14">
        <f t="shared" si="6"/>
        <v>54.9</v>
      </c>
      <c r="I198" s="14">
        <f t="shared" si="7"/>
        <v>54.9</v>
      </c>
    </row>
    <row r="199" spans="2:9" ht="13.2">
      <c r="B199" t="s">
        <v>458</v>
      </c>
      <c r="C199" s="9" t="s">
        <v>8</v>
      </c>
      <c r="D199" s="20">
        <v>2039</v>
      </c>
      <c r="E199" s="9" t="s">
        <v>47</v>
      </c>
      <c r="F199" s="9" t="s">
        <v>51</v>
      </c>
      <c r="G199" s="30" t="s">
        <v>297</v>
      </c>
      <c r="H199" s="14">
        <f t="shared" si="6"/>
        <v>54.9</v>
      </c>
      <c r="I199" s="14">
        <f t="shared" si="7"/>
        <v>54.9</v>
      </c>
    </row>
    <row r="200" spans="2:9" ht="13.2">
      <c r="B200" t="s">
        <v>458</v>
      </c>
      <c r="C200" s="9" t="s">
        <v>8</v>
      </c>
      <c r="D200" s="20">
        <v>2040</v>
      </c>
      <c r="E200" s="9" t="s">
        <v>47</v>
      </c>
      <c r="F200" s="9" t="s">
        <v>51</v>
      </c>
      <c r="G200" s="30" t="s">
        <v>297</v>
      </c>
      <c r="H200" s="14">
        <f t="shared" si="6"/>
        <v>54.9</v>
      </c>
      <c r="I200" s="14">
        <f t="shared" si="7"/>
        <v>54.9</v>
      </c>
    </row>
    <row r="201" spans="2:9" ht="13.2">
      <c r="B201" t="s">
        <v>458</v>
      </c>
      <c r="C201" s="9" t="s">
        <v>8</v>
      </c>
      <c r="D201" s="20">
        <v>2041</v>
      </c>
      <c r="E201" s="9" t="s">
        <v>47</v>
      </c>
      <c r="F201" s="9" t="s">
        <v>51</v>
      </c>
      <c r="G201" s="30" t="s">
        <v>297</v>
      </c>
      <c r="H201" s="14">
        <f t="shared" si="6"/>
        <v>54.9</v>
      </c>
      <c r="I201" s="14">
        <f t="shared" si="7"/>
        <v>54.9</v>
      </c>
    </row>
    <row r="202" spans="2:9" ht="13.2">
      <c r="B202" t="s">
        <v>458</v>
      </c>
      <c r="C202" s="9" t="s">
        <v>8</v>
      </c>
      <c r="D202" s="20">
        <v>2042</v>
      </c>
      <c r="E202" s="9" t="s">
        <v>47</v>
      </c>
      <c r="F202" s="9" t="s">
        <v>51</v>
      </c>
      <c r="G202" s="30" t="s">
        <v>297</v>
      </c>
      <c r="H202" s="14">
        <f t="shared" si="6"/>
        <v>54.9</v>
      </c>
      <c r="I202" s="14">
        <f t="shared" si="7"/>
        <v>54.9</v>
      </c>
    </row>
    <row r="203" spans="2:9" ht="13.2">
      <c r="B203" t="s">
        <v>458</v>
      </c>
      <c r="C203" s="9" t="s">
        <v>8</v>
      </c>
      <c r="D203" s="20">
        <v>2043</v>
      </c>
      <c r="E203" s="9" t="s">
        <v>47</v>
      </c>
      <c r="F203" s="9" t="s">
        <v>51</v>
      </c>
      <c r="G203" s="30" t="s">
        <v>297</v>
      </c>
      <c r="H203" s="14">
        <f t="shared" si="6"/>
        <v>54.9</v>
      </c>
      <c r="I203" s="14">
        <f t="shared" si="7"/>
        <v>54.9</v>
      </c>
    </row>
    <row r="204" spans="2:9" ht="13.2">
      <c r="B204" t="s">
        <v>458</v>
      </c>
      <c r="C204" s="9" t="s">
        <v>8</v>
      </c>
      <c r="D204" s="20">
        <v>2044</v>
      </c>
      <c r="E204" s="9" t="s">
        <v>47</v>
      </c>
      <c r="F204" s="9" t="s">
        <v>51</v>
      </c>
      <c r="G204" s="30" t="s">
        <v>297</v>
      </c>
      <c r="H204" s="14">
        <f t="shared" si="6"/>
        <v>54.9</v>
      </c>
      <c r="I204" s="14">
        <f t="shared" si="7"/>
        <v>54.9</v>
      </c>
    </row>
    <row r="205" spans="2:9" ht="13.2">
      <c r="B205" t="s">
        <v>458</v>
      </c>
      <c r="C205" s="9" t="s">
        <v>8</v>
      </c>
      <c r="D205" s="20">
        <v>2045</v>
      </c>
      <c r="E205" s="9" t="s">
        <v>47</v>
      </c>
      <c r="F205" s="9" t="s">
        <v>51</v>
      </c>
      <c r="G205" s="30" t="s">
        <v>297</v>
      </c>
      <c r="H205" s="14">
        <f t="shared" si="6"/>
        <v>54.9</v>
      </c>
      <c r="I205" s="14">
        <f t="shared" si="7"/>
        <v>54.9</v>
      </c>
    </row>
    <row r="206" spans="2:9" ht="13.2">
      <c r="B206" t="s">
        <v>458</v>
      </c>
      <c r="C206" s="9" t="s">
        <v>8</v>
      </c>
      <c r="D206" s="20">
        <v>2046</v>
      </c>
      <c r="E206" s="9" t="s">
        <v>47</v>
      </c>
      <c r="F206" s="9" t="s">
        <v>51</v>
      </c>
      <c r="G206" s="30" t="s">
        <v>297</v>
      </c>
      <c r="H206" s="14">
        <f t="shared" si="6"/>
        <v>54.9</v>
      </c>
      <c r="I206" s="14">
        <f t="shared" si="7"/>
        <v>54.9</v>
      </c>
    </row>
    <row r="207" spans="2:9" ht="13.2">
      <c r="B207" t="s">
        <v>458</v>
      </c>
      <c r="C207" s="9" t="s">
        <v>8</v>
      </c>
      <c r="D207" s="20">
        <v>2047</v>
      </c>
      <c r="E207" s="9" t="s">
        <v>47</v>
      </c>
      <c r="F207" s="9" t="s">
        <v>51</v>
      </c>
      <c r="G207" s="30" t="s">
        <v>297</v>
      </c>
      <c r="H207" s="14">
        <f t="shared" si="6"/>
        <v>54.9</v>
      </c>
      <c r="I207" s="14">
        <f t="shared" si="7"/>
        <v>54.9</v>
      </c>
    </row>
    <row r="208" spans="2:9" ht="13.2">
      <c r="B208" t="s">
        <v>458</v>
      </c>
      <c r="C208" s="9" t="s">
        <v>8</v>
      </c>
      <c r="D208" s="20">
        <v>2048</v>
      </c>
      <c r="E208" s="9" t="s">
        <v>47</v>
      </c>
      <c r="F208" s="9" t="s">
        <v>51</v>
      </c>
      <c r="G208" s="30" t="s">
        <v>297</v>
      </c>
      <c r="H208" s="14">
        <f t="shared" si="6"/>
        <v>54.9</v>
      </c>
      <c r="I208" s="14">
        <f t="shared" si="7"/>
        <v>54.9</v>
      </c>
    </row>
    <row r="209" spans="2:9" ht="13.2">
      <c r="B209" t="s">
        <v>458</v>
      </c>
      <c r="C209" s="9" t="s">
        <v>8</v>
      </c>
      <c r="D209" s="20">
        <v>2049</v>
      </c>
      <c r="E209" s="9" t="s">
        <v>47</v>
      </c>
      <c r="F209" s="9" t="s">
        <v>51</v>
      </c>
      <c r="G209" s="30" t="s">
        <v>297</v>
      </c>
      <c r="H209" s="14">
        <f t="shared" si="6"/>
        <v>54.9</v>
      </c>
      <c r="I209" s="14">
        <f t="shared" si="7"/>
        <v>54.9</v>
      </c>
    </row>
    <row r="210" spans="2:9" ht="13.2">
      <c r="B210" t="s">
        <v>458</v>
      </c>
      <c r="C210" s="9" t="s">
        <v>8</v>
      </c>
      <c r="D210" s="20">
        <v>2050</v>
      </c>
      <c r="E210" s="9" t="s">
        <v>47</v>
      </c>
      <c r="F210" s="9" t="s">
        <v>51</v>
      </c>
      <c r="G210" s="30" t="s">
        <v>297</v>
      </c>
      <c r="H210" s="14">
        <f t="shared" si="6"/>
        <v>54.9</v>
      </c>
      <c r="I210" s="14">
        <f t="shared" si="7"/>
        <v>54.9</v>
      </c>
    </row>
    <row r="211" spans="2:9" ht="13.2">
      <c r="B211" t="s">
        <v>458</v>
      </c>
      <c r="C211" s="9" t="s">
        <v>8</v>
      </c>
      <c r="D211" s="20">
        <v>2010</v>
      </c>
      <c r="E211" s="9" t="s">
        <v>47</v>
      </c>
      <c r="F211" s="9" t="s">
        <v>11</v>
      </c>
      <c r="G211" s="30" t="s">
        <v>297</v>
      </c>
      <c r="H211" s="14">
        <f t="shared" si="6"/>
        <v>19.180855397148676</v>
      </c>
      <c r="I211" s="14">
        <f t="shared" si="7"/>
        <v>19.180855397148676</v>
      </c>
    </row>
    <row r="212" spans="2:9" ht="13.2">
      <c r="B212" t="s">
        <v>458</v>
      </c>
      <c r="C212" s="9" t="s">
        <v>8</v>
      </c>
      <c r="D212" s="20">
        <v>2011</v>
      </c>
      <c r="E212" s="9" t="s">
        <v>47</v>
      </c>
      <c r="F212" s="9" t="s">
        <v>11</v>
      </c>
      <c r="G212" s="30" t="s">
        <v>297</v>
      </c>
      <c r="H212" s="14">
        <f t="shared" si="6"/>
        <v>20.697708757637471</v>
      </c>
      <c r="I212" s="14">
        <f t="shared" si="7"/>
        <v>20.697708757637471</v>
      </c>
    </row>
    <row r="213" spans="2:9" ht="13.2">
      <c r="B213" t="s">
        <v>458</v>
      </c>
      <c r="C213" s="9" t="s">
        <v>8</v>
      </c>
      <c r="D213" s="20">
        <v>2012</v>
      </c>
      <c r="E213" s="9" t="s">
        <v>47</v>
      </c>
      <c r="F213" s="9" t="s">
        <v>11</v>
      </c>
      <c r="G213" s="30" t="s">
        <v>297</v>
      </c>
      <c r="H213" s="14">
        <f t="shared" si="6"/>
        <v>22.5081466395112</v>
      </c>
      <c r="I213" s="14">
        <f t="shared" si="7"/>
        <v>22.5081466395112</v>
      </c>
    </row>
    <row r="214" spans="2:9" ht="13.2">
      <c r="B214" t="s">
        <v>458</v>
      </c>
      <c r="C214" s="9" t="s">
        <v>8</v>
      </c>
      <c r="D214" s="20">
        <v>2013</v>
      </c>
      <c r="E214" s="9" t="s">
        <v>47</v>
      </c>
      <c r="F214" s="9" t="s">
        <v>11</v>
      </c>
      <c r="G214" s="30" t="s">
        <v>297</v>
      </c>
      <c r="H214" s="14">
        <f t="shared" si="6"/>
        <v>27.499083503054987</v>
      </c>
      <c r="I214" s="14">
        <f t="shared" si="7"/>
        <v>27.499083503054987</v>
      </c>
    </row>
    <row r="215" spans="2:9" ht="13.2">
      <c r="B215" t="s">
        <v>458</v>
      </c>
      <c r="C215" s="9" t="s">
        <v>8</v>
      </c>
      <c r="D215" s="20">
        <v>2014</v>
      </c>
      <c r="E215" s="9" t="s">
        <v>47</v>
      </c>
      <c r="F215" s="9" t="s">
        <v>11</v>
      </c>
      <c r="G215" s="30" t="s">
        <v>297</v>
      </c>
      <c r="H215" s="14">
        <f t="shared" si="6"/>
        <v>32.587881873727085</v>
      </c>
      <c r="I215" s="14">
        <f t="shared" si="7"/>
        <v>32.587881873727085</v>
      </c>
    </row>
    <row r="216" spans="2:9" ht="13.2">
      <c r="B216" t="s">
        <v>458</v>
      </c>
      <c r="C216" s="9" t="s">
        <v>8</v>
      </c>
      <c r="D216" s="20">
        <v>2015</v>
      </c>
      <c r="E216" s="9" t="s">
        <v>47</v>
      </c>
      <c r="F216" s="9" t="s">
        <v>11</v>
      </c>
      <c r="G216" s="30" t="s">
        <v>297</v>
      </c>
      <c r="H216" s="14">
        <f t="shared" si="6"/>
        <v>31.995491803278689</v>
      </c>
      <c r="I216" s="14">
        <f t="shared" si="7"/>
        <v>31.995491803278689</v>
      </c>
    </row>
    <row r="217" spans="2:9" ht="13.2">
      <c r="B217" t="s">
        <v>458</v>
      </c>
      <c r="C217" s="9" t="s">
        <v>8</v>
      </c>
      <c r="D217" s="20">
        <v>2016</v>
      </c>
      <c r="E217" s="9" t="s">
        <v>47</v>
      </c>
      <c r="F217" s="9" t="s">
        <v>11</v>
      </c>
      <c r="G217" s="30" t="s">
        <v>297</v>
      </c>
      <c r="H217" s="14">
        <f t="shared" si="6"/>
        <v>31.995491803278689</v>
      </c>
      <c r="I217" s="14">
        <f t="shared" si="7"/>
        <v>31.995491803278689</v>
      </c>
    </row>
    <row r="218" spans="2:9" ht="13.2">
      <c r="B218" t="s">
        <v>458</v>
      </c>
      <c r="C218" s="9" t="s">
        <v>8</v>
      </c>
      <c r="D218" s="20">
        <v>2017</v>
      </c>
      <c r="E218" s="9" t="s">
        <v>47</v>
      </c>
      <c r="F218" s="9" t="s">
        <v>11</v>
      </c>
      <c r="G218" s="30" t="s">
        <v>297</v>
      </c>
      <c r="H218" s="14">
        <f t="shared" si="6"/>
        <v>31.995491803278689</v>
      </c>
      <c r="I218" s="14">
        <f t="shared" si="7"/>
        <v>31.995491803278689</v>
      </c>
    </row>
    <row r="219" spans="2:9" ht="13.2">
      <c r="B219" t="s">
        <v>458</v>
      </c>
      <c r="C219" s="9" t="s">
        <v>8</v>
      </c>
      <c r="D219" s="20">
        <v>2018</v>
      </c>
      <c r="E219" s="9" t="s">
        <v>47</v>
      </c>
      <c r="F219" s="9" t="s">
        <v>11</v>
      </c>
      <c r="G219" s="30" t="s">
        <v>297</v>
      </c>
      <c r="H219" s="14">
        <f t="shared" si="6"/>
        <v>31.995491803278689</v>
      </c>
      <c r="I219" s="14">
        <f t="shared" si="7"/>
        <v>31.995491803278689</v>
      </c>
    </row>
    <row r="220" spans="2:9" ht="13.2">
      <c r="B220" t="s">
        <v>458</v>
      </c>
      <c r="C220" s="9" t="s">
        <v>8</v>
      </c>
      <c r="D220" s="20">
        <v>2019</v>
      </c>
      <c r="E220" s="9" t="s">
        <v>47</v>
      </c>
      <c r="F220" s="9" t="s">
        <v>11</v>
      </c>
      <c r="G220" s="30" t="s">
        <v>297</v>
      </c>
      <c r="H220" s="14">
        <f t="shared" si="6"/>
        <v>31.995491803278689</v>
      </c>
      <c r="I220" s="14">
        <f t="shared" si="7"/>
        <v>31.995491803278689</v>
      </c>
    </row>
    <row r="221" spans="2:9" ht="13.2">
      <c r="B221" t="s">
        <v>458</v>
      </c>
      <c r="C221" s="9" t="s">
        <v>8</v>
      </c>
      <c r="D221" s="20">
        <v>2020</v>
      </c>
      <c r="E221" s="9" t="s">
        <v>47</v>
      </c>
      <c r="F221" s="9" t="s">
        <v>11</v>
      </c>
      <c r="G221" s="30" t="s">
        <v>297</v>
      </c>
      <c r="H221" s="14">
        <f t="shared" si="6"/>
        <v>31.995491803278689</v>
      </c>
      <c r="I221" s="14">
        <f t="shared" si="7"/>
        <v>31.995491803278689</v>
      </c>
    </row>
    <row r="222" spans="2:9" ht="13.2">
      <c r="B222" t="s">
        <v>458</v>
      </c>
      <c r="C222" s="9" t="s">
        <v>8</v>
      </c>
      <c r="D222" s="20">
        <v>2021</v>
      </c>
      <c r="E222" s="9" t="s">
        <v>47</v>
      </c>
      <c r="F222" s="9" t="s">
        <v>11</v>
      </c>
      <c r="G222" s="30" t="s">
        <v>297</v>
      </c>
      <c r="H222" s="14">
        <f t="shared" si="6"/>
        <v>31.995491803278689</v>
      </c>
      <c r="I222" s="14">
        <f t="shared" si="7"/>
        <v>31.995491803278689</v>
      </c>
    </row>
    <row r="223" spans="2:9" ht="13.2">
      <c r="B223" t="s">
        <v>458</v>
      </c>
      <c r="C223" s="9" t="s">
        <v>8</v>
      </c>
      <c r="D223" s="20">
        <v>2022</v>
      </c>
      <c r="E223" s="9" t="s">
        <v>47</v>
      </c>
      <c r="F223" s="9" t="s">
        <v>11</v>
      </c>
      <c r="G223" s="30" t="s">
        <v>297</v>
      </c>
      <c r="H223" s="14">
        <f t="shared" si="6"/>
        <v>31.995491803278689</v>
      </c>
      <c r="I223" s="14">
        <f t="shared" si="7"/>
        <v>31.995491803278689</v>
      </c>
    </row>
    <row r="224" spans="2:9" ht="13.2">
      <c r="B224" t="s">
        <v>458</v>
      </c>
      <c r="C224" s="9" t="s">
        <v>8</v>
      </c>
      <c r="D224" s="20">
        <v>2023</v>
      </c>
      <c r="E224" s="9" t="s">
        <v>47</v>
      </c>
      <c r="F224" s="9" t="s">
        <v>11</v>
      </c>
      <c r="G224" s="30" t="s">
        <v>297</v>
      </c>
      <c r="H224" s="14">
        <f t="shared" si="6"/>
        <v>31.995491803278689</v>
      </c>
      <c r="I224" s="14">
        <f t="shared" si="7"/>
        <v>31.995491803278689</v>
      </c>
    </row>
    <row r="225" spans="2:9" ht="13.2">
      <c r="B225" t="s">
        <v>458</v>
      </c>
      <c r="C225" s="9" t="s">
        <v>8</v>
      </c>
      <c r="D225" s="20">
        <v>2024</v>
      </c>
      <c r="E225" s="9" t="s">
        <v>47</v>
      </c>
      <c r="F225" s="9" t="s">
        <v>11</v>
      </c>
      <c r="G225" s="30" t="s">
        <v>297</v>
      </c>
      <c r="H225" s="14">
        <f t="shared" si="6"/>
        <v>31.995491803278689</v>
      </c>
      <c r="I225" s="14">
        <f t="shared" si="7"/>
        <v>31.995491803278689</v>
      </c>
    </row>
    <row r="226" spans="2:9" ht="13.2">
      <c r="B226" t="s">
        <v>458</v>
      </c>
      <c r="C226" s="9" t="s">
        <v>8</v>
      </c>
      <c r="D226" s="20">
        <v>2025</v>
      </c>
      <c r="E226" s="9" t="s">
        <v>47</v>
      </c>
      <c r="F226" s="9" t="s">
        <v>11</v>
      </c>
      <c r="G226" s="30" t="s">
        <v>297</v>
      </c>
      <c r="H226" s="14">
        <f t="shared" si="6"/>
        <v>31.995491803278689</v>
      </c>
      <c r="I226" s="14">
        <f t="shared" si="7"/>
        <v>31.995491803278689</v>
      </c>
    </row>
    <row r="227" spans="2:9" ht="13.2">
      <c r="B227" t="s">
        <v>458</v>
      </c>
      <c r="C227" s="9" t="s">
        <v>8</v>
      </c>
      <c r="D227" s="20">
        <v>2026</v>
      </c>
      <c r="E227" s="9" t="s">
        <v>47</v>
      </c>
      <c r="F227" s="9" t="s">
        <v>11</v>
      </c>
      <c r="G227" s="30" t="s">
        <v>297</v>
      </c>
      <c r="H227" s="14">
        <f t="shared" si="6"/>
        <v>31.995491803278689</v>
      </c>
      <c r="I227" s="14">
        <f t="shared" si="7"/>
        <v>31.995491803278689</v>
      </c>
    </row>
    <row r="228" spans="2:9" ht="13.2">
      <c r="B228" t="s">
        <v>458</v>
      </c>
      <c r="C228" s="9" t="s">
        <v>8</v>
      </c>
      <c r="D228" s="20">
        <v>2027</v>
      </c>
      <c r="E228" s="9" t="s">
        <v>47</v>
      </c>
      <c r="F228" s="9" t="s">
        <v>11</v>
      </c>
      <c r="G228" s="30" t="s">
        <v>297</v>
      </c>
      <c r="H228" s="14">
        <f t="shared" si="6"/>
        <v>31.995491803278689</v>
      </c>
      <c r="I228" s="14">
        <f t="shared" si="7"/>
        <v>31.995491803278689</v>
      </c>
    </row>
    <row r="229" spans="2:9" ht="13.2">
      <c r="B229" t="s">
        <v>458</v>
      </c>
      <c r="C229" s="9" t="s">
        <v>8</v>
      </c>
      <c r="D229" s="20">
        <v>2028</v>
      </c>
      <c r="E229" s="9" t="s">
        <v>47</v>
      </c>
      <c r="F229" s="9" t="s">
        <v>11</v>
      </c>
      <c r="G229" s="30" t="s">
        <v>297</v>
      </c>
      <c r="H229" s="14">
        <f t="shared" si="6"/>
        <v>31.995491803278689</v>
      </c>
      <c r="I229" s="14">
        <f t="shared" si="7"/>
        <v>31.995491803278689</v>
      </c>
    </row>
    <row r="230" spans="2:9" ht="13.2">
      <c r="B230" t="s">
        <v>458</v>
      </c>
      <c r="C230" s="9" t="s">
        <v>8</v>
      </c>
      <c r="D230" s="20">
        <v>2029</v>
      </c>
      <c r="E230" s="9" t="s">
        <v>47</v>
      </c>
      <c r="F230" s="9" t="s">
        <v>11</v>
      </c>
      <c r="G230" s="30" t="s">
        <v>297</v>
      </c>
      <c r="H230" s="14">
        <f t="shared" ref="H230:H293" si="8">HLOOKUP(F230,FuelTax2,D230-2006,FALSE)</f>
        <v>31.995491803278689</v>
      </c>
      <c r="I230" s="14">
        <f t="shared" ref="I230:I293" si="9">H230</f>
        <v>31.995491803278689</v>
      </c>
    </row>
    <row r="231" spans="2:9" ht="13.2">
      <c r="B231" t="s">
        <v>458</v>
      </c>
      <c r="C231" s="9" t="s">
        <v>8</v>
      </c>
      <c r="D231" s="20">
        <v>2030</v>
      </c>
      <c r="E231" s="9" t="s">
        <v>47</v>
      </c>
      <c r="F231" s="9" t="s">
        <v>11</v>
      </c>
      <c r="G231" s="30" t="s">
        <v>297</v>
      </c>
      <c r="H231" s="14">
        <f t="shared" si="8"/>
        <v>31.995491803278689</v>
      </c>
      <c r="I231" s="14">
        <f t="shared" si="9"/>
        <v>31.995491803278689</v>
      </c>
    </row>
    <row r="232" spans="2:9" ht="13.2">
      <c r="B232" t="s">
        <v>458</v>
      </c>
      <c r="C232" s="9" t="s">
        <v>8</v>
      </c>
      <c r="D232" s="20">
        <v>2031</v>
      </c>
      <c r="E232" s="9" t="s">
        <v>47</v>
      </c>
      <c r="F232" s="9" t="s">
        <v>11</v>
      </c>
      <c r="G232" s="30" t="s">
        <v>297</v>
      </c>
      <c r="H232" s="14">
        <f t="shared" si="8"/>
        <v>31.995491803278689</v>
      </c>
      <c r="I232" s="14">
        <f t="shared" si="9"/>
        <v>31.995491803278689</v>
      </c>
    </row>
    <row r="233" spans="2:9" ht="13.2">
      <c r="B233" t="s">
        <v>458</v>
      </c>
      <c r="C233" s="9" t="s">
        <v>8</v>
      </c>
      <c r="D233" s="20">
        <v>2032</v>
      </c>
      <c r="E233" s="9" t="s">
        <v>47</v>
      </c>
      <c r="F233" s="9" t="s">
        <v>11</v>
      </c>
      <c r="G233" s="30" t="s">
        <v>297</v>
      </c>
      <c r="H233" s="14">
        <f t="shared" si="8"/>
        <v>31.995491803278689</v>
      </c>
      <c r="I233" s="14">
        <f t="shared" si="9"/>
        <v>31.995491803278689</v>
      </c>
    </row>
    <row r="234" spans="2:9" ht="13.2">
      <c r="B234" t="s">
        <v>458</v>
      </c>
      <c r="C234" s="9" t="s">
        <v>8</v>
      </c>
      <c r="D234" s="20">
        <v>2033</v>
      </c>
      <c r="E234" s="9" t="s">
        <v>47</v>
      </c>
      <c r="F234" s="9" t="s">
        <v>11</v>
      </c>
      <c r="G234" s="30" t="s">
        <v>297</v>
      </c>
      <c r="H234" s="14">
        <f t="shared" si="8"/>
        <v>31.995491803278689</v>
      </c>
      <c r="I234" s="14">
        <f t="shared" si="9"/>
        <v>31.995491803278689</v>
      </c>
    </row>
    <row r="235" spans="2:9" ht="13.2">
      <c r="B235" t="s">
        <v>458</v>
      </c>
      <c r="C235" s="9" t="s">
        <v>8</v>
      </c>
      <c r="D235" s="20">
        <v>2034</v>
      </c>
      <c r="E235" s="9" t="s">
        <v>47</v>
      </c>
      <c r="F235" s="9" t="s">
        <v>11</v>
      </c>
      <c r="G235" s="30" t="s">
        <v>297</v>
      </c>
      <c r="H235" s="14">
        <f t="shared" si="8"/>
        <v>31.995491803278689</v>
      </c>
      <c r="I235" s="14">
        <f t="shared" si="9"/>
        <v>31.995491803278689</v>
      </c>
    </row>
    <row r="236" spans="2:9" ht="13.2">
      <c r="B236" t="s">
        <v>458</v>
      </c>
      <c r="C236" s="9" t="s">
        <v>8</v>
      </c>
      <c r="D236" s="20">
        <v>2035</v>
      </c>
      <c r="E236" s="9" t="s">
        <v>47</v>
      </c>
      <c r="F236" s="9" t="s">
        <v>11</v>
      </c>
      <c r="G236" s="30" t="s">
        <v>297</v>
      </c>
      <c r="H236" s="14">
        <f t="shared" si="8"/>
        <v>31.995491803278689</v>
      </c>
      <c r="I236" s="14">
        <f t="shared" si="9"/>
        <v>31.995491803278689</v>
      </c>
    </row>
    <row r="237" spans="2:9" ht="13.2">
      <c r="B237" t="s">
        <v>458</v>
      </c>
      <c r="C237" s="9" t="s">
        <v>8</v>
      </c>
      <c r="D237" s="20">
        <v>2036</v>
      </c>
      <c r="E237" s="9" t="s">
        <v>47</v>
      </c>
      <c r="F237" s="9" t="s">
        <v>11</v>
      </c>
      <c r="G237" s="30" t="s">
        <v>297</v>
      </c>
      <c r="H237" s="14">
        <f t="shared" si="8"/>
        <v>31.995491803278689</v>
      </c>
      <c r="I237" s="14">
        <f t="shared" si="9"/>
        <v>31.995491803278689</v>
      </c>
    </row>
    <row r="238" spans="2:9" ht="13.2">
      <c r="B238" t="s">
        <v>458</v>
      </c>
      <c r="C238" s="9" t="s">
        <v>8</v>
      </c>
      <c r="D238" s="20">
        <v>2037</v>
      </c>
      <c r="E238" s="9" t="s">
        <v>47</v>
      </c>
      <c r="F238" s="9" t="s">
        <v>11</v>
      </c>
      <c r="G238" s="30" t="s">
        <v>297</v>
      </c>
      <c r="H238" s="14">
        <f t="shared" si="8"/>
        <v>31.995491803278689</v>
      </c>
      <c r="I238" s="14">
        <f t="shared" si="9"/>
        <v>31.995491803278689</v>
      </c>
    </row>
    <row r="239" spans="2:9" ht="13.2">
      <c r="B239" t="s">
        <v>458</v>
      </c>
      <c r="C239" s="9" t="s">
        <v>8</v>
      </c>
      <c r="D239" s="20">
        <v>2038</v>
      </c>
      <c r="E239" s="9" t="s">
        <v>47</v>
      </c>
      <c r="F239" s="9" t="s">
        <v>11</v>
      </c>
      <c r="G239" s="30" t="s">
        <v>297</v>
      </c>
      <c r="H239" s="14">
        <f t="shared" si="8"/>
        <v>31.995491803278689</v>
      </c>
      <c r="I239" s="14">
        <f t="shared" si="9"/>
        <v>31.995491803278689</v>
      </c>
    </row>
    <row r="240" spans="2:9" ht="13.2">
      <c r="B240" t="s">
        <v>458</v>
      </c>
      <c r="C240" s="9" t="s">
        <v>8</v>
      </c>
      <c r="D240" s="20">
        <v>2039</v>
      </c>
      <c r="E240" s="9" t="s">
        <v>47</v>
      </c>
      <c r="F240" s="9" t="s">
        <v>11</v>
      </c>
      <c r="G240" s="30" t="s">
        <v>297</v>
      </c>
      <c r="H240" s="14">
        <f t="shared" si="8"/>
        <v>31.995491803278689</v>
      </c>
      <c r="I240" s="14">
        <f t="shared" si="9"/>
        <v>31.995491803278689</v>
      </c>
    </row>
    <row r="241" spans="2:9" ht="13.2">
      <c r="B241" t="s">
        <v>458</v>
      </c>
      <c r="C241" s="9" t="s">
        <v>8</v>
      </c>
      <c r="D241" s="20">
        <v>2040</v>
      </c>
      <c r="E241" s="9" t="s">
        <v>47</v>
      </c>
      <c r="F241" s="9" t="s">
        <v>11</v>
      </c>
      <c r="G241" s="30" t="s">
        <v>297</v>
      </c>
      <c r="H241" s="14">
        <f t="shared" si="8"/>
        <v>31.995491803278689</v>
      </c>
      <c r="I241" s="14">
        <f t="shared" si="9"/>
        <v>31.995491803278689</v>
      </c>
    </row>
    <row r="242" spans="2:9" ht="13.2">
      <c r="B242" t="s">
        <v>458</v>
      </c>
      <c r="C242" s="9" t="s">
        <v>8</v>
      </c>
      <c r="D242" s="20">
        <v>2041</v>
      </c>
      <c r="E242" s="9" t="s">
        <v>47</v>
      </c>
      <c r="F242" s="9" t="s">
        <v>11</v>
      </c>
      <c r="G242" s="30" t="s">
        <v>297</v>
      </c>
      <c r="H242" s="14">
        <f t="shared" si="8"/>
        <v>31.995491803278689</v>
      </c>
      <c r="I242" s="14">
        <f t="shared" si="9"/>
        <v>31.995491803278689</v>
      </c>
    </row>
    <row r="243" spans="2:9" ht="13.2">
      <c r="B243" t="s">
        <v>458</v>
      </c>
      <c r="C243" s="9" t="s">
        <v>8</v>
      </c>
      <c r="D243" s="20">
        <v>2042</v>
      </c>
      <c r="E243" s="9" t="s">
        <v>47</v>
      </c>
      <c r="F243" s="9" t="s">
        <v>11</v>
      </c>
      <c r="G243" s="30" t="s">
        <v>297</v>
      </c>
      <c r="H243" s="14">
        <f t="shared" si="8"/>
        <v>31.995491803278689</v>
      </c>
      <c r="I243" s="14">
        <f t="shared" si="9"/>
        <v>31.995491803278689</v>
      </c>
    </row>
    <row r="244" spans="2:9" ht="13.2">
      <c r="B244" t="s">
        <v>458</v>
      </c>
      <c r="C244" s="9" t="s">
        <v>8</v>
      </c>
      <c r="D244" s="20">
        <v>2043</v>
      </c>
      <c r="E244" s="9" t="s">
        <v>47</v>
      </c>
      <c r="F244" s="9" t="s">
        <v>11</v>
      </c>
      <c r="G244" s="30" t="s">
        <v>297</v>
      </c>
      <c r="H244" s="14">
        <f t="shared" si="8"/>
        <v>31.995491803278689</v>
      </c>
      <c r="I244" s="14">
        <f t="shared" si="9"/>
        <v>31.995491803278689</v>
      </c>
    </row>
    <row r="245" spans="2:9" ht="13.2">
      <c r="B245" t="s">
        <v>458</v>
      </c>
      <c r="C245" s="9" t="s">
        <v>8</v>
      </c>
      <c r="D245" s="20">
        <v>2044</v>
      </c>
      <c r="E245" s="9" t="s">
        <v>47</v>
      </c>
      <c r="F245" s="9" t="s">
        <v>11</v>
      </c>
      <c r="G245" s="30" t="s">
        <v>297</v>
      </c>
      <c r="H245" s="14">
        <f t="shared" si="8"/>
        <v>31.995491803278689</v>
      </c>
      <c r="I245" s="14">
        <f t="shared" si="9"/>
        <v>31.995491803278689</v>
      </c>
    </row>
    <row r="246" spans="2:9" ht="13.2">
      <c r="B246" t="s">
        <v>458</v>
      </c>
      <c r="C246" s="9" t="s">
        <v>8</v>
      </c>
      <c r="D246" s="20">
        <v>2045</v>
      </c>
      <c r="E246" s="9" t="s">
        <v>47</v>
      </c>
      <c r="F246" s="9" t="s">
        <v>11</v>
      </c>
      <c r="G246" s="30" t="s">
        <v>297</v>
      </c>
      <c r="H246" s="14">
        <f t="shared" si="8"/>
        <v>31.995491803278689</v>
      </c>
      <c r="I246" s="14">
        <f t="shared" si="9"/>
        <v>31.995491803278689</v>
      </c>
    </row>
    <row r="247" spans="2:9" ht="13.2">
      <c r="B247" t="s">
        <v>458</v>
      </c>
      <c r="C247" s="9" t="s">
        <v>8</v>
      </c>
      <c r="D247" s="20">
        <v>2046</v>
      </c>
      <c r="E247" s="9" t="s">
        <v>47</v>
      </c>
      <c r="F247" s="9" t="s">
        <v>11</v>
      </c>
      <c r="G247" s="30" t="s">
        <v>297</v>
      </c>
      <c r="H247" s="14">
        <f t="shared" si="8"/>
        <v>31.995491803278689</v>
      </c>
      <c r="I247" s="14">
        <f t="shared" si="9"/>
        <v>31.995491803278689</v>
      </c>
    </row>
    <row r="248" spans="2:9" ht="13.2">
      <c r="B248" t="s">
        <v>458</v>
      </c>
      <c r="C248" s="9" t="s">
        <v>8</v>
      </c>
      <c r="D248" s="20">
        <v>2047</v>
      </c>
      <c r="E248" s="9" t="s">
        <v>47</v>
      </c>
      <c r="F248" s="9" t="s">
        <v>11</v>
      </c>
      <c r="G248" s="30" t="s">
        <v>297</v>
      </c>
      <c r="H248" s="14">
        <f t="shared" si="8"/>
        <v>31.995491803278689</v>
      </c>
      <c r="I248" s="14">
        <f t="shared" si="9"/>
        <v>31.995491803278689</v>
      </c>
    </row>
    <row r="249" spans="2:9" ht="13.2">
      <c r="B249" t="s">
        <v>458</v>
      </c>
      <c r="C249" s="9" t="s">
        <v>8</v>
      </c>
      <c r="D249" s="20">
        <v>2048</v>
      </c>
      <c r="E249" s="9" t="s">
        <v>47</v>
      </c>
      <c r="F249" s="9" t="s">
        <v>11</v>
      </c>
      <c r="G249" s="30" t="s">
        <v>297</v>
      </c>
      <c r="H249" s="14">
        <f t="shared" si="8"/>
        <v>31.995491803278689</v>
      </c>
      <c r="I249" s="14">
        <f t="shared" si="9"/>
        <v>31.995491803278689</v>
      </c>
    </row>
    <row r="250" spans="2:9" ht="13.2">
      <c r="B250" t="s">
        <v>458</v>
      </c>
      <c r="C250" s="9" t="s">
        <v>8</v>
      </c>
      <c r="D250" s="20">
        <v>2049</v>
      </c>
      <c r="E250" s="9" t="s">
        <v>47</v>
      </c>
      <c r="F250" s="9" t="s">
        <v>11</v>
      </c>
      <c r="G250" s="30" t="s">
        <v>297</v>
      </c>
      <c r="H250" s="14">
        <f t="shared" si="8"/>
        <v>31.995491803278689</v>
      </c>
      <c r="I250" s="14">
        <f t="shared" si="9"/>
        <v>31.995491803278689</v>
      </c>
    </row>
    <row r="251" spans="2:9" ht="13.2">
      <c r="B251" t="s">
        <v>458</v>
      </c>
      <c r="C251" s="9" t="s">
        <v>8</v>
      </c>
      <c r="D251" s="20">
        <v>2050</v>
      </c>
      <c r="E251" s="9" t="s">
        <v>47</v>
      </c>
      <c r="F251" s="9" t="s">
        <v>11</v>
      </c>
      <c r="G251" s="30" t="s">
        <v>297</v>
      </c>
      <c r="H251" s="14">
        <f t="shared" si="8"/>
        <v>31.995491803278689</v>
      </c>
      <c r="I251" s="14">
        <f t="shared" si="9"/>
        <v>31.995491803278689</v>
      </c>
    </row>
    <row r="252" spans="2:9" ht="13.2">
      <c r="B252" t="s">
        <v>458</v>
      </c>
      <c r="C252" s="9" t="s">
        <v>8</v>
      </c>
      <c r="D252" s="20">
        <v>2010</v>
      </c>
      <c r="E252" s="9" t="s">
        <v>47</v>
      </c>
      <c r="F252" s="9" t="s">
        <v>72</v>
      </c>
      <c r="G252" s="30" t="s">
        <v>297</v>
      </c>
      <c r="H252" s="14">
        <f t="shared" si="8"/>
        <v>0</v>
      </c>
      <c r="I252" s="14">
        <f t="shared" si="9"/>
        <v>0</v>
      </c>
    </row>
    <row r="253" spans="2:9" ht="13.2">
      <c r="B253" t="s">
        <v>458</v>
      </c>
      <c r="C253" s="9" t="s">
        <v>8</v>
      </c>
      <c r="D253" s="20">
        <v>2011</v>
      </c>
      <c r="E253" s="9" t="s">
        <v>47</v>
      </c>
      <c r="F253" s="9" t="s">
        <v>72</v>
      </c>
      <c r="G253" s="30" t="s">
        <v>297</v>
      </c>
      <c r="H253" s="14">
        <f t="shared" si="8"/>
        <v>0</v>
      </c>
      <c r="I253" s="14">
        <f t="shared" si="9"/>
        <v>0</v>
      </c>
    </row>
    <row r="254" spans="2:9" ht="13.2">
      <c r="B254" t="s">
        <v>458</v>
      </c>
      <c r="C254" s="9" t="s">
        <v>8</v>
      </c>
      <c r="D254" s="20">
        <v>2012</v>
      </c>
      <c r="E254" s="9" t="s">
        <v>47</v>
      </c>
      <c r="F254" s="9" t="s">
        <v>72</v>
      </c>
      <c r="G254" s="30" t="s">
        <v>297</v>
      </c>
      <c r="H254" s="14">
        <f t="shared" si="8"/>
        <v>0</v>
      </c>
      <c r="I254" s="14">
        <f t="shared" si="9"/>
        <v>0</v>
      </c>
    </row>
    <row r="255" spans="2:9" ht="13.2">
      <c r="B255" t="s">
        <v>458</v>
      </c>
      <c r="C255" s="9" t="s">
        <v>8</v>
      </c>
      <c r="D255" s="20">
        <v>2013</v>
      </c>
      <c r="E255" s="9" t="s">
        <v>47</v>
      </c>
      <c r="F255" s="9" t="s">
        <v>72</v>
      </c>
      <c r="G255" s="30" t="s">
        <v>297</v>
      </c>
      <c r="H255" s="14">
        <f t="shared" si="8"/>
        <v>0</v>
      </c>
      <c r="I255" s="14">
        <f t="shared" si="9"/>
        <v>0</v>
      </c>
    </row>
    <row r="256" spans="2:9" ht="13.2">
      <c r="B256" t="s">
        <v>458</v>
      </c>
      <c r="C256" s="9" t="s">
        <v>8</v>
      </c>
      <c r="D256" s="20">
        <v>2014</v>
      </c>
      <c r="E256" s="9" t="s">
        <v>47</v>
      </c>
      <c r="F256" s="9" t="s">
        <v>72</v>
      </c>
      <c r="G256" s="30" t="s">
        <v>297</v>
      </c>
      <c r="H256" s="14">
        <f t="shared" si="8"/>
        <v>0</v>
      </c>
      <c r="I256" s="14">
        <f t="shared" si="9"/>
        <v>0</v>
      </c>
    </row>
    <row r="257" spans="2:9" ht="13.2">
      <c r="B257" t="s">
        <v>458</v>
      </c>
      <c r="C257" s="9" t="s">
        <v>8</v>
      </c>
      <c r="D257" s="20">
        <v>2015</v>
      </c>
      <c r="E257" s="9" t="s">
        <v>47</v>
      </c>
      <c r="F257" s="9" t="s">
        <v>72</v>
      </c>
      <c r="G257" s="30" t="s">
        <v>297</v>
      </c>
      <c r="H257" s="14">
        <f t="shared" si="8"/>
        <v>0</v>
      </c>
      <c r="I257" s="14">
        <f t="shared" si="9"/>
        <v>0</v>
      </c>
    </row>
    <row r="258" spans="2:9" ht="13.2">
      <c r="B258" t="s">
        <v>458</v>
      </c>
      <c r="C258" s="9" t="s">
        <v>8</v>
      </c>
      <c r="D258" s="20">
        <v>2016</v>
      </c>
      <c r="E258" s="9" t="s">
        <v>47</v>
      </c>
      <c r="F258" s="9" t="s">
        <v>72</v>
      </c>
      <c r="G258" s="30" t="s">
        <v>297</v>
      </c>
      <c r="H258" s="14">
        <f t="shared" si="8"/>
        <v>0</v>
      </c>
      <c r="I258" s="14">
        <f t="shared" si="9"/>
        <v>0</v>
      </c>
    </row>
    <row r="259" spans="2:9" ht="13.2">
      <c r="B259" t="s">
        <v>458</v>
      </c>
      <c r="C259" s="9" t="s">
        <v>8</v>
      </c>
      <c r="D259" s="20">
        <v>2017</v>
      </c>
      <c r="E259" s="9" t="s">
        <v>47</v>
      </c>
      <c r="F259" s="9" t="s">
        <v>72</v>
      </c>
      <c r="G259" s="30" t="s">
        <v>297</v>
      </c>
      <c r="H259" s="14">
        <f t="shared" si="8"/>
        <v>0</v>
      </c>
      <c r="I259" s="14">
        <f t="shared" si="9"/>
        <v>0</v>
      </c>
    </row>
    <row r="260" spans="2:9" ht="13.2">
      <c r="B260" t="s">
        <v>458</v>
      </c>
      <c r="C260" s="9" t="s">
        <v>8</v>
      </c>
      <c r="D260" s="20">
        <v>2018</v>
      </c>
      <c r="E260" s="9" t="s">
        <v>47</v>
      </c>
      <c r="F260" s="9" t="s">
        <v>72</v>
      </c>
      <c r="G260" s="30" t="s">
        <v>297</v>
      </c>
      <c r="H260" s="14">
        <f t="shared" si="8"/>
        <v>0</v>
      </c>
      <c r="I260" s="14">
        <f t="shared" si="9"/>
        <v>0</v>
      </c>
    </row>
    <row r="261" spans="2:9" ht="13.2">
      <c r="B261" t="s">
        <v>458</v>
      </c>
      <c r="C261" s="9" t="s">
        <v>8</v>
      </c>
      <c r="D261" s="20">
        <v>2019</v>
      </c>
      <c r="E261" s="9" t="s">
        <v>47</v>
      </c>
      <c r="F261" s="9" t="s">
        <v>72</v>
      </c>
      <c r="G261" s="30" t="s">
        <v>297</v>
      </c>
      <c r="H261" s="14">
        <f t="shared" si="8"/>
        <v>0</v>
      </c>
      <c r="I261" s="14">
        <f t="shared" si="9"/>
        <v>0</v>
      </c>
    </row>
    <row r="262" spans="2:9" ht="13.2">
      <c r="B262" t="s">
        <v>458</v>
      </c>
      <c r="C262" s="9" t="s">
        <v>8</v>
      </c>
      <c r="D262" s="20">
        <v>2020</v>
      </c>
      <c r="E262" s="9" t="s">
        <v>47</v>
      </c>
      <c r="F262" s="9" t="s">
        <v>72</v>
      </c>
      <c r="G262" s="30" t="s">
        <v>297</v>
      </c>
      <c r="H262" s="14">
        <f t="shared" si="8"/>
        <v>0</v>
      </c>
      <c r="I262" s="14">
        <f t="shared" si="9"/>
        <v>0</v>
      </c>
    </row>
    <row r="263" spans="2:9" ht="13.2">
      <c r="B263" t="s">
        <v>458</v>
      </c>
      <c r="C263" s="9" t="s">
        <v>8</v>
      </c>
      <c r="D263" s="20">
        <v>2021</v>
      </c>
      <c r="E263" s="9" t="s">
        <v>47</v>
      </c>
      <c r="F263" s="9" t="s">
        <v>72</v>
      </c>
      <c r="G263" s="30" t="s">
        <v>297</v>
      </c>
      <c r="H263" s="14">
        <f t="shared" si="8"/>
        <v>0</v>
      </c>
      <c r="I263" s="14">
        <f t="shared" si="9"/>
        <v>0</v>
      </c>
    </row>
    <row r="264" spans="2:9" ht="13.2">
      <c r="B264" t="s">
        <v>458</v>
      </c>
      <c r="C264" s="9" t="s">
        <v>8</v>
      </c>
      <c r="D264" s="20">
        <v>2022</v>
      </c>
      <c r="E264" s="9" t="s">
        <v>47</v>
      </c>
      <c r="F264" s="9" t="s">
        <v>72</v>
      </c>
      <c r="G264" s="30" t="s">
        <v>297</v>
      </c>
      <c r="H264" s="14">
        <f t="shared" si="8"/>
        <v>0</v>
      </c>
      <c r="I264" s="14">
        <f t="shared" si="9"/>
        <v>0</v>
      </c>
    </row>
    <row r="265" spans="2:9" ht="13.2">
      <c r="B265" t="s">
        <v>458</v>
      </c>
      <c r="C265" s="9" t="s">
        <v>8</v>
      </c>
      <c r="D265" s="20">
        <v>2023</v>
      </c>
      <c r="E265" s="9" t="s">
        <v>47</v>
      </c>
      <c r="F265" s="9" t="s">
        <v>72</v>
      </c>
      <c r="G265" s="30" t="s">
        <v>297</v>
      </c>
      <c r="H265" s="14">
        <f t="shared" si="8"/>
        <v>0</v>
      </c>
      <c r="I265" s="14">
        <f t="shared" si="9"/>
        <v>0</v>
      </c>
    </row>
    <row r="266" spans="2:9" ht="13.2">
      <c r="B266" t="s">
        <v>458</v>
      </c>
      <c r="C266" s="9" t="s">
        <v>8</v>
      </c>
      <c r="D266" s="20">
        <v>2024</v>
      </c>
      <c r="E266" s="9" t="s">
        <v>47</v>
      </c>
      <c r="F266" s="9" t="s">
        <v>72</v>
      </c>
      <c r="G266" s="30" t="s">
        <v>297</v>
      </c>
      <c r="H266" s="14">
        <f t="shared" si="8"/>
        <v>0</v>
      </c>
      <c r="I266" s="14">
        <f t="shared" si="9"/>
        <v>0</v>
      </c>
    </row>
    <row r="267" spans="2:9" ht="13.2">
      <c r="B267" t="s">
        <v>458</v>
      </c>
      <c r="C267" s="9" t="s">
        <v>8</v>
      </c>
      <c r="D267" s="20">
        <v>2025</v>
      </c>
      <c r="E267" s="9" t="s">
        <v>47</v>
      </c>
      <c r="F267" s="9" t="s">
        <v>72</v>
      </c>
      <c r="G267" s="30" t="s">
        <v>297</v>
      </c>
      <c r="H267" s="14">
        <f t="shared" si="8"/>
        <v>0</v>
      </c>
      <c r="I267" s="14">
        <f t="shared" si="9"/>
        <v>0</v>
      </c>
    </row>
    <row r="268" spans="2:9" ht="13.2">
      <c r="B268" t="s">
        <v>458</v>
      </c>
      <c r="C268" s="9" t="s">
        <v>8</v>
      </c>
      <c r="D268" s="20">
        <v>2026</v>
      </c>
      <c r="E268" s="9" t="s">
        <v>47</v>
      </c>
      <c r="F268" s="9" t="s">
        <v>72</v>
      </c>
      <c r="G268" s="30" t="s">
        <v>297</v>
      </c>
      <c r="H268" s="14">
        <f t="shared" si="8"/>
        <v>0</v>
      </c>
      <c r="I268" s="14">
        <f t="shared" si="9"/>
        <v>0</v>
      </c>
    </row>
    <row r="269" spans="2:9" ht="13.2">
      <c r="B269" t="s">
        <v>458</v>
      </c>
      <c r="C269" s="9" t="s">
        <v>8</v>
      </c>
      <c r="D269" s="20">
        <v>2027</v>
      </c>
      <c r="E269" s="9" t="s">
        <v>47</v>
      </c>
      <c r="F269" s="9" t="s">
        <v>72</v>
      </c>
      <c r="G269" s="30" t="s">
        <v>297</v>
      </c>
      <c r="H269" s="14">
        <f t="shared" si="8"/>
        <v>0</v>
      </c>
      <c r="I269" s="14">
        <f t="shared" si="9"/>
        <v>0</v>
      </c>
    </row>
    <row r="270" spans="2:9" ht="13.2">
      <c r="B270" t="s">
        <v>458</v>
      </c>
      <c r="C270" s="9" t="s">
        <v>8</v>
      </c>
      <c r="D270" s="20">
        <v>2028</v>
      </c>
      <c r="E270" s="9" t="s">
        <v>47</v>
      </c>
      <c r="F270" s="9" t="s">
        <v>72</v>
      </c>
      <c r="G270" s="30" t="s">
        <v>297</v>
      </c>
      <c r="H270" s="14">
        <f t="shared" si="8"/>
        <v>0</v>
      </c>
      <c r="I270" s="14">
        <f t="shared" si="9"/>
        <v>0</v>
      </c>
    </row>
    <row r="271" spans="2:9" ht="13.2">
      <c r="B271" t="s">
        <v>458</v>
      </c>
      <c r="C271" s="9" t="s">
        <v>8</v>
      </c>
      <c r="D271" s="20">
        <v>2029</v>
      </c>
      <c r="E271" s="9" t="s">
        <v>47</v>
      </c>
      <c r="F271" s="9" t="s">
        <v>72</v>
      </c>
      <c r="G271" s="30" t="s">
        <v>297</v>
      </c>
      <c r="H271" s="14">
        <f t="shared" si="8"/>
        <v>0</v>
      </c>
      <c r="I271" s="14">
        <f t="shared" si="9"/>
        <v>0</v>
      </c>
    </row>
    <row r="272" spans="2:9" ht="13.2">
      <c r="B272" t="s">
        <v>458</v>
      </c>
      <c r="C272" s="9" t="s">
        <v>8</v>
      </c>
      <c r="D272" s="20">
        <v>2030</v>
      </c>
      <c r="E272" s="9" t="s">
        <v>47</v>
      </c>
      <c r="F272" s="9" t="s">
        <v>72</v>
      </c>
      <c r="G272" s="30" t="s">
        <v>297</v>
      </c>
      <c r="H272" s="14">
        <f t="shared" si="8"/>
        <v>0</v>
      </c>
      <c r="I272" s="14">
        <f t="shared" si="9"/>
        <v>0</v>
      </c>
    </row>
    <row r="273" spans="2:9" ht="13.2">
      <c r="B273" t="s">
        <v>458</v>
      </c>
      <c r="C273" s="9" t="s">
        <v>8</v>
      </c>
      <c r="D273" s="20">
        <v>2031</v>
      </c>
      <c r="E273" s="9" t="s">
        <v>47</v>
      </c>
      <c r="F273" s="9" t="s">
        <v>72</v>
      </c>
      <c r="G273" s="30" t="s">
        <v>297</v>
      </c>
      <c r="H273" s="14">
        <f t="shared" si="8"/>
        <v>0</v>
      </c>
      <c r="I273" s="14">
        <f t="shared" si="9"/>
        <v>0</v>
      </c>
    </row>
    <row r="274" spans="2:9" ht="13.2">
      <c r="B274" t="s">
        <v>458</v>
      </c>
      <c r="C274" s="9" t="s">
        <v>8</v>
      </c>
      <c r="D274" s="20">
        <v>2032</v>
      </c>
      <c r="E274" s="9" t="s">
        <v>47</v>
      </c>
      <c r="F274" s="9" t="s">
        <v>72</v>
      </c>
      <c r="G274" s="30" t="s">
        <v>297</v>
      </c>
      <c r="H274" s="14">
        <f t="shared" si="8"/>
        <v>0</v>
      </c>
      <c r="I274" s="14">
        <f t="shared" si="9"/>
        <v>0</v>
      </c>
    </row>
    <row r="275" spans="2:9" ht="13.2">
      <c r="B275" t="s">
        <v>458</v>
      </c>
      <c r="C275" s="9" t="s">
        <v>8</v>
      </c>
      <c r="D275" s="20">
        <v>2033</v>
      </c>
      <c r="E275" s="9" t="s">
        <v>47</v>
      </c>
      <c r="F275" s="9" t="s">
        <v>72</v>
      </c>
      <c r="G275" s="30" t="s">
        <v>297</v>
      </c>
      <c r="H275" s="14">
        <f t="shared" si="8"/>
        <v>0</v>
      </c>
      <c r="I275" s="14">
        <f t="shared" si="9"/>
        <v>0</v>
      </c>
    </row>
    <row r="276" spans="2:9" ht="13.2">
      <c r="B276" t="s">
        <v>458</v>
      </c>
      <c r="C276" s="9" t="s">
        <v>8</v>
      </c>
      <c r="D276" s="20">
        <v>2034</v>
      </c>
      <c r="E276" s="9" t="s">
        <v>47</v>
      </c>
      <c r="F276" s="9" t="s">
        <v>72</v>
      </c>
      <c r="G276" s="30" t="s">
        <v>297</v>
      </c>
      <c r="H276" s="14">
        <f t="shared" si="8"/>
        <v>0</v>
      </c>
      <c r="I276" s="14">
        <f t="shared" si="9"/>
        <v>0</v>
      </c>
    </row>
    <row r="277" spans="2:9" ht="13.2">
      <c r="B277" t="s">
        <v>458</v>
      </c>
      <c r="C277" s="9" t="s">
        <v>8</v>
      </c>
      <c r="D277" s="20">
        <v>2035</v>
      </c>
      <c r="E277" s="9" t="s">
        <v>47</v>
      </c>
      <c r="F277" s="9" t="s">
        <v>72</v>
      </c>
      <c r="G277" s="30" t="s">
        <v>297</v>
      </c>
      <c r="H277" s="14">
        <f t="shared" si="8"/>
        <v>0</v>
      </c>
      <c r="I277" s="14">
        <f t="shared" si="9"/>
        <v>0</v>
      </c>
    </row>
    <row r="278" spans="2:9" ht="13.2">
      <c r="B278" t="s">
        <v>458</v>
      </c>
      <c r="C278" s="9" t="s">
        <v>8</v>
      </c>
      <c r="D278" s="20">
        <v>2036</v>
      </c>
      <c r="E278" s="9" t="s">
        <v>47</v>
      </c>
      <c r="F278" s="9" t="s">
        <v>72</v>
      </c>
      <c r="G278" s="30" t="s">
        <v>297</v>
      </c>
      <c r="H278" s="14">
        <f t="shared" si="8"/>
        <v>0</v>
      </c>
      <c r="I278" s="14">
        <f t="shared" si="9"/>
        <v>0</v>
      </c>
    </row>
    <row r="279" spans="2:9" ht="13.2">
      <c r="B279" t="s">
        <v>458</v>
      </c>
      <c r="C279" s="9" t="s">
        <v>8</v>
      </c>
      <c r="D279" s="20">
        <v>2037</v>
      </c>
      <c r="E279" s="9" t="s">
        <v>47</v>
      </c>
      <c r="F279" s="9" t="s">
        <v>72</v>
      </c>
      <c r="G279" s="30" t="s">
        <v>297</v>
      </c>
      <c r="H279" s="14">
        <f t="shared" si="8"/>
        <v>0</v>
      </c>
      <c r="I279" s="14">
        <f t="shared" si="9"/>
        <v>0</v>
      </c>
    </row>
    <row r="280" spans="2:9" ht="13.2">
      <c r="B280" t="s">
        <v>458</v>
      </c>
      <c r="C280" s="9" t="s">
        <v>8</v>
      </c>
      <c r="D280" s="20">
        <v>2038</v>
      </c>
      <c r="E280" s="9" t="s">
        <v>47</v>
      </c>
      <c r="F280" s="9" t="s">
        <v>72</v>
      </c>
      <c r="G280" s="30" t="s">
        <v>297</v>
      </c>
      <c r="H280" s="14">
        <f t="shared" si="8"/>
        <v>0</v>
      </c>
      <c r="I280" s="14">
        <f t="shared" si="9"/>
        <v>0</v>
      </c>
    </row>
    <row r="281" spans="2:9" ht="13.2">
      <c r="B281" t="s">
        <v>458</v>
      </c>
      <c r="C281" s="9" t="s">
        <v>8</v>
      </c>
      <c r="D281" s="20">
        <v>2039</v>
      </c>
      <c r="E281" s="9" t="s">
        <v>47</v>
      </c>
      <c r="F281" s="9" t="s">
        <v>72</v>
      </c>
      <c r="G281" s="30" t="s">
        <v>297</v>
      </c>
      <c r="H281" s="14">
        <f t="shared" si="8"/>
        <v>0</v>
      </c>
      <c r="I281" s="14">
        <f t="shared" si="9"/>
        <v>0</v>
      </c>
    </row>
    <row r="282" spans="2:9" ht="13.2">
      <c r="B282" t="s">
        <v>458</v>
      </c>
      <c r="C282" s="9" t="s">
        <v>8</v>
      </c>
      <c r="D282" s="20">
        <v>2040</v>
      </c>
      <c r="E282" s="9" t="s">
        <v>47</v>
      </c>
      <c r="F282" s="9" t="s">
        <v>72</v>
      </c>
      <c r="G282" s="30" t="s">
        <v>297</v>
      </c>
      <c r="H282" s="14">
        <f t="shared" si="8"/>
        <v>0</v>
      </c>
      <c r="I282" s="14">
        <f t="shared" si="9"/>
        <v>0</v>
      </c>
    </row>
    <row r="283" spans="2:9" ht="13.2">
      <c r="B283" t="s">
        <v>458</v>
      </c>
      <c r="C283" s="9" t="s">
        <v>8</v>
      </c>
      <c r="D283" s="20">
        <v>2041</v>
      </c>
      <c r="E283" s="9" t="s">
        <v>47</v>
      </c>
      <c r="F283" s="9" t="s">
        <v>72</v>
      </c>
      <c r="G283" s="30" t="s">
        <v>297</v>
      </c>
      <c r="H283" s="14">
        <f t="shared" si="8"/>
        <v>0</v>
      </c>
      <c r="I283" s="14">
        <f t="shared" si="9"/>
        <v>0</v>
      </c>
    </row>
    <row r="284" spans="2:9" ht="13.2">
      <c r="B284" t="s">
        <v>458</v>
      </c>
      <c r="C284" s="9" t="s">
        <v>8</v>
      </c>
      <c r="D284" s="20">
        <v>2042</v>
      </c>
      <c r="E284" s="9" t="s">
        <v>47</v>
      </c>
      <c r="F284" s="9" t="s">
        <v>72</v>
      </c>
      <c r="G284" s="30" t="s">
        <v>297</v>
      </c>
      <c r="H284" s="14">
        <f t="shared" si="8"/>
        <v>0</v>
      </c>
      <c r="I284" s="14">
        <f t="shared" si="9"/>
        <v>0</v>
      </c>
    </row>
    <row r="285" spans="2:9" ht="13.2">
      <c r="B285" t="s">
        <v>458</v>
      </c>
      <c r="C285" s="9" t="s">
        <v>8</v>
      </c>
      <c r="D285" s="20">
        <v>2043</v>
      </c>
      <c r="E285" s="9" t="s">
        <v>47</v>
      </c>
      <c r="F285" s="9" t="s">
        <v>72</v>
      </c>
      <c r="G285" s="30" t="s">
        <v>297</v>
      </c>
      <c r="H285" s="14">
        <f t="shared" si="8"/>
        <v>0</v>
      </c>
      <c r="I285" s="14">
        <f t="shared" si="9"/>
        <v>0</v>
      </c>
    </row>
    <row r="286" spans="2:9" ht="13.2">
      <c r="B286" t="s">
        <v>458</v>
      </c>
      <c r="C286" s="9" t="s">
        <v>8</v>
      </c>
      <c r="D286" s="20">
        <v>2044</v>
      </c>
      <c r="E286" s="9" t="s">
        <v>47</v>
      </c>
      <c r="F286" s="9" t="s">
        <v>72</v>
      </c>
      <c r="G286" s="30" t="s">
        <v>297</v>
      </c>
      <c r="H286" s="14">
        <f t="shared" si="8"/>
        <v>0</v>
      </c>
      <c r="I286" s="14">
        <f t="shared" si="9"/>
        <v>0</v>
      </c>
    </row>
    <row r="287" spans="2:9" ht="13.2">
      <c r="B287" t="s">
        <v>458</v>
      </c>
      <c r="C287" s="9" t="s">
        <v>8</v>
      </c>
      <c r="D287" s="20">
        <v>2045</v>
      </c>
      <c r="E287" s="9" t="s">
        <v>47</v>
      </c>
      <c r="F287" s="9" t="s">
        <v>72</v>
      </c>
      <c r="G287" s="30" t="s">
        <v>297</v>
      </c>
      <c r="H287" s="14">
        <f t="shared" si="8"/>
        <v>0</v>
      </c>
      <c r="I287" s="14">
        <f t="shared" si="9"/>
        <v>0</v>
      </c>
    </row>
    <row r="288" spans="2:9" ht="13.2">
      <c r="B288" t="s">
        <v>458</v>
      </c>
      <c r="C288" s="9" t="s">
        <v>8</v>
      </c>
      <c r="D288" s="20">
        <v>2046</v>
      </c>
      <c r="E288" s="9" t="s">
        <v>47</v>
      </c>
      <c r="F288" s="9" t="s">
        <v>72</v>
      </c>
      <c r="G288" s="30" t="s">
        <v>297</v>
      </c>
      <c r="H288" s="14">
        <f t="shared" si="8"/>
        <v>0</v>
      </c>
      <c r="I288" s="14">
        <f t="shared" si="9"/>
        <v>0</v>
      </c>
    </row>
    <row r="289" spans="2:9" ht="13.2">
      <c r="B289" t="s">
        <v>458</v>
      </c>
      <c r="C289" s="9" t="s">
        <v>8</v>
      </c>
      <c r="D289" s="20">
        <v>2047</v>
      </c>
      <c r="E289" s="9" t="s">
        <v>47</v>
      </c>
      <c r="F289" s="9" t="s">
        <v>72</v>
      </c>
      <c r="G289" s="30" t="s">
        <v>297</v>
      </c>
      <c r="H289" s="14">
        <f t="shared" si="8"/>
        <v>0</v>
      </c>
      <c r="I289" s="14">
        <f t="shared" si="9"/>
        <v>0</v>
      </c>
    </row>
    <row r="290" spans="2:9" ht="13.2">
      <c r="B290" t="s">
        <v>458</v>
      </c>
      <c r="C290" s="9" t="s">
        <v>8</v>
      </c>
      <c r="D290" s="20">
        <v>2048</v>
      </c>
      <c r="E290" s="9" t="s">
        <v>47</v>
      </c>
      <c r="F290" s="9" t="s">
        <v>72</v>
      </c>
      <c r="G290" s="30" t="s">
        <v>297</v>
      </c>
      <c r="H290" s="14">
        <f t="shared" si="8"/>
        <v>0</v>
      </c>
      <c r="I290" s="14">
        <f t="shared" si="9"/>
        <v>0</v>
      </c>
    </row>
    <row r="291" spans="2:9" ht="13.2">
      <c r="B291" t="s">
        <v>458</v>
      </c>
      <c r="C291" s="9" t="s">
        <v>8</v>
      </c>
      <c r="D291" s="20">
        <v>2049</v>
      </c>
      <c r="E291" s="9" t="s">
        <v>47</v>
      </c>
      <c r="F291" s="9" t="s">
        <v>72</v>
      </c>
      <c r="G291" s="30" t="s">
        <v>297</v>
      </c>
      <c r="H291" s="14">
        <f t="shared" si="8"/>
        <v>0</v>
      </c>
      <c r="I291" s="14">
        <f t="shared" si="9"/>
        <v>0</v>
      </c>
    </row>
    <row r="292" spans="2:9" ht="13.2">
      <c r="B292" t="s">
        <v>458</v>
      </c>
      <c r="C292" s="9" t="s">
        <v>8</v>
      </c>
      <c r="D292" s="20">
        <v>2050</v>
      </c>
      <c r="E292" s="9" t="s">
        <v>47</v>
      </c>
      <c r="F292" s="9" t="s">
        <v>72</v>
      </c>
      <c r="G292" s="30" t="s">
        <v>297</v>
      </c>
      <c r="H292" s="14">
        <f t="shared" si="8"/>
        <v>0</v>
      </c>
      <c r="I292" s="14">
        <f t="shared" si="9"/>
        <v>0</v>
      </c>
    </row>
    <row r="293" spans="2:9" ht="13.2">
      <c r="B293" t="s">
        <v>458</v>
      </c>
      <c r="C293" s="9" t="s">
        <v>8</v>
      </c>
      <c r="D293" s="20">
        <v>2010</v>
      </c>
      <c r="E293" s="9" t="s">
        <v>47</v>
      </c>
      <c r="F293" s="9" t="s">
        <v>52</v>
      </c>
      <c r="G293" s="30" t="s">
        <v>297</v>
      </c>
      <c r="H293" s="14">
        <f t="shared" si="8"/>
        <v>0</v>
      </c>
      <c r="I293" s="14">
        <f t="shared" si="9"/>
        <v>0</v>
      </c>
    </row>
    <row r="294" spans="2:9" ht="13.2">
      <c r="B294" t="s">
        <v>458</v>
      </c>
      <c r="C294" s="9" t="s">
        <v>8</v>
      </c>
      <c r="D294" s="20">
        <v>2011</v>
      </c>
      <c r="E294" s="9" t="s">
        <v>47</v>
      </c>
      <c r="F294" s="9" t="s">
        <v>52</v>
      </c>
      <c r="G294" s="30" t="s">
        <v>297</v>
      </c>
      <c r="H294" s="14">
        <f t="shared" ref="H294:H357" si="10">HLOOKUP(F294,FuelTax2,D294-2006,FALSE)</f>
        <v>0</v>
      </c>
      <c r="I294" s="14">
        <f t="shared" ref="I294:I357" si="11">H294</f>
        <v>0</v>
      </c>
    </row>
    <row r="295" spans="2:9" ht="13.2">
      <c r="B295" t="s">
        <v>458</v>
      </c>
      <c r="C295" s="9" t="s">
        <v>8</v>
      </c>
      <c r="D295" s="20">
        <v>2012</v>
      </c>
      <c r="E295" s="9" t="s">
        <v>47</v>
      </c>
      <c r="F295" s="9" t="s">
        <v>52</v>
      </c>
      <c r="G295" s="30" t="s">
        <v>297</v>
      </c>
      <c r="H295" s="14">
        <f t="shared" si="10"/>
        <v>0</v>
      </c>
      <c r="I295" s="14">
        <f t="shared" si="11"/>
        <v>0</v>
      </c>
    </row>
    <row r="296" spans="2:9" ht="13.2">
      <c r="B296" t="s">
        <v>458</v>
      </c>
      <c r="C296" s="9" t="s">
        <v>8</v>
      </c>
      <c r="D296" s="20">
        <v>2013</v>
      </c>
      <c r="E296" s="9" t="s">
        <v>47</v>
      </c>
      <c r="F296" s="9" t="s">
        <v>52</v>
      </c>
      <c r="G296" s="30" t="s">
        <v>297</v>
      </c>
      <c r="H296" s="14">
        <f t="shared" si="10"/>
        <v>0</v>
      </c>
      <c r="I296" s="14">
        <f t="shared" si="11"/>
        <v>0</v>
      </c>
    </row>
    <row r="297" spans="2:9" ht="13.2">
      <c r="B297" t="s">
        <v>458</v>
      </c>
      <c r="C297" s="9" t="s">
        <v>8</v>
      </c>
      <c r="D297" s="20">
        <v>2014</v>
      </c>
      <c r="E297" s="9" t="s">
        <v>47</v>
      </c>
      <c r="F297" s="9" t="s">
        <v>52</v>
      </c>
      <c r="G297" s="30" t="s">
        <v>297</v>
      </c>
      <c r="H297" s="14">
        <f t="shared" si="10"/>
        <v>0</v>
      </c>
      <c r="I297" s="14">
        <f t="shared" si="11"/>
        <v>0</v>
      </c>
    </row>
    <row r="298" spans="2:9" ht="13.2">
      <c r="B298" t="s">
        <v>458</v>
      </c>
      <c r="C298" s="9" t="s">
        <v>8</v>
      </c>
      <c r="D298" s="20">
        <v>2015</v>
      </c>
      <c r="E298" s="9" t="s">
        <v>47</v>
      </c>
      <c r="F298" s="9" t="s">
        <v>52</v>
      </c>
      <c r="G298" s="30" t="s">
        <v>297</v>
      </c>
      <c r="H298" s="14">
        <f t="shared" si="10"/>
        <v>0</v>
      </c>
      <c r="I298" s="14">
        <f t="shared" si="11"/>
        <v>0</v>
      </c>
    </row>
    <row r="299" spans="2:9" ht="13.2">
      <c r="B299" t="s">
        <v>458</v>
      </c>
      <c r="C299" s="9" t="s">
        <v>8</v>
      </c>
      <c r="D299" s="20">
        <v>2016</v>
      </c>
      <c r="E299" s="9" t="s">
        <v>47</v>
      </c>
      <c r="F299" s="9" t="s">
        <v>52</v>
      </c>
      <c r="G299" s="30" t="s">
        <v>297</v>
      </c>
      <c r="H299" s="14">
        <f t="shared" si="10"/>
        <v>0</v>
      </c>
      <c r="I299" s="14">
        <f t="shared" si="11"/>
        <v>0</v>
      </c>
    </row>
    <row r="300" spans="2:9" ht="13.2">
      <c r="B300" t="s">
        <v>458</v>
      </c>
      <c r="C300" s="9" t="s">
        <v>8</v>
      </c>
      <c r="D300" s="20">
        <v>2017</v>
      </c>
      <c r="E300" s="9" t="s">
        <v>47</v>
      </c>
      <c r="F300" s="9" t="s">
        <v>52</v>
      </c>
      <c r="G300" s="30" t="s">
        <v>297</v>
      </c>
      <c r="H300" s="14">
        <f t="shared" si="10"/>
        <v>0</v>
      </c>
      <c r="I300" s="14">
        <f t="shared" si="11"/>
        <v>0</v>
      </c>
    </row>
    <row r="301" spans="2:9" ht="13.2">
      <c r="B301" t="s">
        <v>458</v>
      </c>
      <c r="C301" s="9" t="s">
        <v>8</v>
      </c>
      <c r="D301" s="20">
        <v>2018</v>
      </c>
      <c r="E301" s="9" t="s">
        <v>47</v>
      </c>
      <c r="F301" s="9" t="s">
        <v>52</v>
      </c>
      <c r="G301" s="30" t="s">
        <v>297</v>
      </c>
      <c r="H301" s="14">
        <f t="shared" si="10"/>
        <v>0</v>
      </c>
      <c r="I301" s="14">
        <f t="shared" si="11"/>
        <v>0</v>
      </c>
    </row>
    <row r="302" spans="2:9" ht="13.2">
      <c r="B302" t="s">
        <v>458</v>
      </c>
      <c r="C302" s="9" t="s">
        <v>8</v>
      </c>
      <c r="D302" s="20">
        <v>2019</v>
      </c>
      <c r="E302" s="9" t="s">
        <v>47</v>
      </c>
      <c r="F302" s="9" t="s">
        <v>52</v>
      </c>
      <c r="G302" s="30" t="s">
        <v>297</v>
      </c>
      <c r="H302" s="14">
        <f t="shared" si="10"/>
        <v>0</v>
      </c>
      <c r="I302" s="14">
        <f t="shared" si="11"/>
        <v>0</v>
      </c>
    </row>
    <row r="303" spans="2:9" ht="13.2">
      <c r="B303" t="s">
        <v>458</v>
      </c>
      <c r="C303" s="9" t="s">
        <v>8</v>
      </c>
      <c r="D303" s="20">
        <v>2020</v>
      </c>
      <c r="E303" s="9" t="s">
        <v>47</v>
      </c>
      <c r="F303" s="9" t="s">
        <v>52</v>
      </c>
      <c r="G303" s="30" t="s">
        <v>297</v>
      </c>
      <c r="H303" s="14">
        <f t="shared" si="10"/>
        <v>0</v>
      </c>
      <c r="I303" s="14">
        <f t="shared" si="11"/>
        <v>0</v>
      </c>
    </row>
    <row r="304" spans="2:9" ht="13.2">
      <c r="B304" t="s">
        <v>458</v>
      </c>
      <c r="C304" s="9" t="s">
        <v>8</v>
      </c>
      <c r="D304" s="20">
        <v>2021</v>
      </c>
      <c r="E304" s="9" t="s">
        <v>47</v>
      </c>
      <c r="F304" s="9" t="s">
        <v>52</v>
      </c>
      <c r="G304" s="30" t="s">
        <v>297</v>
      </c>
      <c r="H304" s="14">
        <f t="shared" si="10"/>
        <v>0</v>
      </c>
      <c r="I304" s="14">
        <f t="shared" si="11"/>
        <v>0</v>
      </c>
    </row>
    <row r="305" spans="2:9" ht="13.2">
      <c r="B305" t="s">
        <v>458</v>
      </c>
      <c r="C305" s="9" t="s">
        <v>8</v>
      </c>
      <c r="D305" s="20">
        <v>2022</v>
      </c>
      <c r="E305" s="9" t="s">
        <v>47</v>
      </c>
      <c r="F305" s="9" t="s">
        <v>52</v>
      </c>
      <c r="G305" s="30" t="s">
        <v>297</v>
      </c>
      <c r="H305" s="14">
        <f t="shared" si="10"/>
        <v>0</v>
      </c>
      <c r="I305" s="14">
        <f t="shared" si="11"/>
        <v>0</v>
      </c>
    </row>
    <row r="306" spans="2:9" ht="13.2">
      <c r="B306" t="s">
        <v>458</v>
      </c>
      <c r="C306" s="9" t="s">
        <v>8</v>
      </c>
      <c r="D306" s="20">
        <v>2023</v>
      </c>
      <c r="E306" s="9" t="s">
        <v>47</v>
      </c>
      <c r="F306" s="9" t="s">
        <v>52</v>
      </c>
      <c r="G306" s="30" t="s">
        <v>297</v>
      </c>
      <c r="H306" s="14">
        <f t="shared" si="10"/>
        <v>0</v>
      </c>
      <c r="I306" s="14">
        <f t="shared" si="11"/>
        <v>0</v>
      </c>
    </row>
    <row r="307" spans="2:9" ht="13.2">
      <c r="B307" t="s">
        <v>458</v>
      </c>
      <c r="C307" s="9" t="s">
        <v>8</v>
      </c>
      <c r="D307" s="20">
        <v>2024</v>
      </c>
      <c r="E307" s="9" t="s">
        <v>47</v>
      </c>
      <c r="F307" s="9" t="s">
        <v>52</v>
      </c>
      <c r="G307" s="30" t="s">
        <v>297</v>
      </c>
      <c r="H307" s="14">
        <f t="shared" si="10"/>
        <v>0</v>
      </c>
      <c r="I307" s="14">
        <f t="shared" si="11"/>
        <v>0</v>
      </c>
    </row>
    <row r="308" spans="2:9" ht="13.2">
      <c r="B308" t="s">
        <v>458</v>
      </c>
      <c r="C308" s="9" t="s">
        <v>8</v>
      </c>
      <c r="D308" s="20">
        <v>2025</v>
      </c>
      <c r="E308" s="9" t="s">
        <v>47</v>
      </c>
      <c r="F308" s="9" t="s">
        <v>52</v>
      </c>
      <c r="G308" s="30" t="s">
        <v>297</v>
      </c>
      <c r="H308" s="14">
        <f t="shared" si="10"/>
        <v>0</v>
      </c>
      <c r="I308" s="14">
        <f t="shared" si="11"/>
        <v>0</v>
      </c>
    </row>
    <row r="309" spans="2:9" ht="13.2">
      <c r="B309" t="s">
        <v>458</v>
      </c>
      <c r="C309" s="9" t="s">
        <v>8</v>
      </c>
      <c r="D309" s="20">
        <v>2026</v>
      </c>
      <c r="E309" s="9" t="s">
        <v>47</v>
      </c>
      <c r="F309" s="9" t="s">
        <v>52</v>
      </c>
      <c r="G309" s="30" t="s">
        <v>297</v>
      </c>
      <c r="H309" s="14">
        <f t="shared" si="10"/>
        <v>0</v>
      </c>
      <c r="I309" s="14">
        <f t="shared" si="11"/>
        <v>0</v>
      </c>
    </row>
    <row r="310" spans="2:9" ht="13.2">
      <c r="B310" t="s">
        <v>458</v>
      </c>
      <c r="C310" s="9" t="s">
        <v>8</v>
      </c>
      <c r="D310" s="20">
        <v>2027</v>
      </c>
      <c r="E310" s="9" t="s">
        <v>47</v>
      </c>
      <c r="F310" s="9" t="s">
        <v>52</v>
      </c>
      <c r="G310" s="30" t="s">
        <v>297</v>
      </c>
      <c r="H310" s="14">
        <f t="shared" si="10"/>
        <v>0</v>
      </c>
      <c r="I310" s="14">
        <f t="shared" si="11"/>
        <v>0</v>
      </c>
    </row>
    <row r="311" spans="2:9" ht="13.2">
      <c r="B311" t="s">
        <v>458</v>
      </c>
      <c r="C311" s="9" t="s">
        <v>8</v>
      </c>
      <c r="D311" s="20">
        <v>2028</v>
      </c>
      <c r="E311" s="9" t="s">
        <v>47</v>
      </c>
      <c r="F311" s="9" t="s">
        <v>52</v>
      </c>
      <c r="G311" s="30" t="s">
        <v>297</v>
      </c>
      <c r="H311" s="14">
        <f t="shared" si="10"/>
        <v>0</v>
      </c>
      <c r="I311" s="14">
        <f t="shared" si="11"/>
        <v>0</v>
      </c>
    </row>
    <row r="312" spans="2:9" ht="13.2">
      <c r="B312" t="s">
        <v>458</v>
      </c>
      <c r="C312" s="9" t="s">
        <v>8</v>
      </c>
      <c r="D312" s="20">
        <v>2029</v>
      </c>
      <c r="E312" s="9" t="s">
        <v>47</v>
      </c>
      <c r="F312" s="9" t="s">
        <v>52</v>
      </c>
      <c r="G312" s="30" t="s">
        <v>297</v>
      </c>
      <c r="H312" s="14">
        <f t="shared" si="10"/>
        <v>0</v>
      </c>
      <c r="I312" s="14">
        <f t="shared" si="11"/>
        <v>0</v>
      </c>
    </row>
    <row r="313" spans="2:9" ht="13.2">
      <c r="B313" t="s">
        <v>458</v>
      </c>
      <c r="C313" s="9" t="s">
        <v>8</v>
      </c>
      <c r="D313" s="20">
        <v>2030</v>
      </c>
      <c r="E313" s="9" t="s">
        <v>47</v>
      </c>
      <c r="F313" s="9" t="s">
        <v>52</v>
      </c>
      <c r="G313" s="30" t="s">
        <v>297</v>
      </c>
      <c r="H313" s="14">
        <f t="shared" si="10"/>
        <v>0</v>
      </c>
      <c r="I313" s="14">
        <f t="shared" si="11"/>
        <v>0</v>
      </c>
    </row>
    <row r="314" spans="2:9" ht="13.2">
      <c r="B314" t="s">
        <v>458</v>
      </c>
      <c r="C314" s="9" t="s">
        <v>8</v>
      </c>
      <c r="D314" s="20">
        <v>2031</v>
      </c>
      <c r="E314" s="9" t="s">
        <v>47</v>
      </c>
      <c r="F314" s="9" t="s">
        <v>52</v>
      </c>
      <c r="G314" s="30" t="s">
        <v>297</v>
      </c>
      <c r="H314" s="14">
        <f t="shared" si="10"/>
        <v>0</v>
      </c>
      <c r="I314" s="14">
        <f t="shared" si="11"/>
        <v>0</v>
      </c>
    </row>
    <row r="315" spans="2:9" ht="13.2">
      <c r="B315" t="s">
        <v>458</v>
      </c>
      <c r="C315" s="9" t="s">
        <v>8</v>
      </c>
      <c r="D315" s="20">
        <v>2032</v>
      </c>
      <c r="E315" s="9" t="s">
        <v>47</v>
      </c>
      <c r="F315" s="9" t="s">
        <v>52</v>
      </c>
      <c r="G315" s="30" t="s">
        <v>297</v>
      </c>
      <c r="H315" s="14">
        <f t="shared" si="10"/>
        <v>0</v>
      </c>
      <c r="I315" s="14">
        <f t="shared" si="11"/>
        <v>0</v>
      </c>
    </row>
    <row r="316" spans="2:9" ht="13.2">
      <c r="B316" t="s">
        <v>458</v>
      </c>
      <c r="C316" s="9" t="s">
        <v>8</v>
      </c>
      <c r="D316" s="20">
        <v>2033</v>
      </c>
      <c r="E316" s="9" t="s">
        <v>47</v>
      </c>
      <c r="F316" s="9" t="s">
        <v>52</v>
      </c>
      <c r="G316" s="30" t="s">
        <v>297</v>
      </c>
      <c r="H316" s="14">
        <f t="shared" si="10"/>
        <v>0</v>
      </c>
      <c r="I316" s="14">
        <f t="shared" si="11"/>
        <v>0</v>
      </c>
    </row>
    <row r="317" spans="2:9" ht="13.2">
      <c r="B317" t="s">
        <v>458</v>
      </c>
      <c r="C317" s="9" t="s">
        <v>8</v>
      </c>
      <c r="D317" s="20">
        <v>2034</v>
      </c>
      <c r="E317" s="9" t="s">
        <v>47</v>
      </c>
      <c r="F317" s="9" t="s">
        <v>52</v>
      </c>
      <c r="G317" s="30" t="s">
        <v>297</v>
      </c>
      <c r="H317" s="14">
        <f t="shared" si="10"/>
        <v>0</v>
      </c>
      <c r="I317" s="14">
        <f t="shared" si="11"/>
        <v>0</v>
      </c>
    </row>
    <row r="318" spans="2:9" ht="13.2">
      <c r="B318" t="s">
        <v>458</v>
      </c>
      <c r="C318" s="9" t="s">
        <v>8</v>
      </c>
      <c r="D318" s="20">
        <v>2035</v>
      </c>
      <c r="E318" s="9" t="s">
        <v>47</v>
      </c>
      <c r="F318" s="9" t="s">
        <v>52</v>
      </c>
      <c r="G318" s="30" t="s">
        <v>297</v>
      </c>
      <c r="H318" s="14">
        <f t="shared" si="10"/>
        <v>0</v>
      </c>
      <c r="I318" s="14">
        <f t="shared" si="11"/>
        <v>0</v>
      </c>
    </row>
    <row r="319" spans="2:9" ht="13.2">
      <c r="B319" t="s">
        <v>458</v>
      </c>
      <c r="C319" s="9" t="s">
        <v>8</v>
      </c>
      <c r="D319" s="20">
        <v>2036</v>
      </c>
      <c r="E319" s="9" t="s">
        <v>47</v>
      </c>
      <c r="F319" s="9" t="s">
        <v>52</v>
      </c>
      <c r="G319" s="30" t="s">
        <v>297</v>
      </c>
      <c r="H319" s="14">
        <f t="shared" si="10"/>
        <v>0</v>
      </c>
      <c r="I319" s="14">
        <f t="shared" si="11"/>
        <v>0</v>
      </c>
    </row>
    <row r="320" spans="2:9" ht="13.2">
      <c r="B320" t="s">
        <v>458</v>
      </c>
      <c r="C320" s="9" t="s">
        <v>8</v>
      </c>
      <c r="D320" s="20">
        <v>2037</v>
      </c>
      <c r="E320" s="9" t="s">
        <v>47</v>
      </c>
      <c r="F320" s="9" t="s">
        <v>52</v>
      </c>
      <c r="G320" s="30" t="s">
        <v>297</v>
      </c>
      <c r="H320" s="14">
        <f t="shared" si="10"/>
        <v>0</v>
      </c>
      <c r="I320" s="14">
        <f t="shared" si="11"/>
        <v>0</v>
      </c>
    </row>
    <row r="321" spans="2:9" ht="13.2">
      <c r="B321" t="s">
        <v>458</v>
      </c>
      <c r="C321" s="9" t="s">
        <v>8</v>
      </c>
      <c r="D321" s="20">
        <v>2038</v>
      </c>
      <c r="E321" s="9" t="s">
        <v>47</v>
      </c>
      <c r="F321" s="9" t="s">
        <v>52</v>
      </c>
      <c r="G321" s="30" t="s">
        <v>297</v>
      </c>
      <c r="H321" s="14">
        <f t="shared" si="10"/>
        <v>0</v>
      </c>
      <c r="I321" s="14">
        <f t="shared" si="11"/>
        <v>0</v>
      </c>
    </row>
    <row r="322" spans="2:9" ht="13.2">
      <c r="B322" t="s">
        <v>458</v>
      </c>
      <c r="C322" s="9" t="s">
        <v>8</v>
      </c>
      <c r="D322" s="20">
        <v>2039</v>
      </c>
      <c r="E322" s="9" t="s">
        <v>47</v>
      </c>
      <c r="F322" s="9" t="s">
        <v>52</v>
      </c>
      <c r="G322" s="30" t="s">
        <v>297</v>
      </c>
      <c r="H322" s="14">
        <f t="shared" si="10"/>
        <v>0</v>
      </c>
      <c r="I322" s="14">
        <f t="shared" si="11"/>
        <v>0</v>
      </c>
    </row>
    <row r="323" spans="2:9" ht="13.2">
      <c r="B323" t="s">
        <v>458</v>
      </c>
      <c r="C323" s="9" t="s">
        <v>8</v>
      </c>
      <c r="D323" s="20">
        <v>2040</v>
      </c>
      <c r="E323" s="9" t="s">
        <v>47</v>
      </c>
      <c r="F323" s="9" t="s">
        <v>52</v>
      </c>
      <c r="G323" s="30" t="s">
        <v>297</v>
      </c>
      <c r="H323" s="14">
        <f t="shared" si="10"/>
        <v>0</v>
      </c>
      <c r="I323" s="14">
        <f t="shared" si="11"/>
        <v>0</v>
      </c>
    </row>
    <row r="324" spans="2:9" ht="13.2">
      <c r="B324" t="s">
        <v>458</v>
      </c>
      <c r="C324" s="9" t="s">
        <v>8</v>
      </c>
      <c r="D324" s="20">
        <v>2041</v>
      </c>
      <c r="E324" s="9" t="s">
        <v>47</v>
      </c>
      <c r="F324" s="9" t="s">
        <v>52</v>
      </c>
      <c r="G324" s="30" t="s">
        <v>297</v>
      </c>
      <c r="H324" s="14">
        <f t="shared" si="10"/>
        <v>0</v>
      </c>
      <c r="I324" s="14">
        <f t="shared" si="11"/>
        <v>0</v>
      </c>
    </row>
    <row r="325" spans="2:9" ht="13.2">
      <c r="B325" t="s">
        <v>458</v>
      </c>
      <c r="C325" s="9" t="s">
        <v>8</v>
      </c>
      <c r="D325" s="20">
        <v>2042</v>
      </c>
      <c r="E325" s="9" t="s">
        <v>47</v>
      </c>
      <c r="F325" s="9" t="s">
        <v>52</v>
      </c>
      <c r="G325" s="30" t="s">
        <v>297</v>
      </c>
      <c r="H325" s="14">
        <f t="shared" si="10"/>
        <v>0</v>
      </c>
      <c r="I325" s="14">
        <f t="shared" si="11"/>
        <v>0</v>
      </c>
    </row>
    <row r="326" spans="2:9" ht="13.2">
      <c r="B326" t="s">
        <v>458</v>
      </c>
      <c r="C326" s="9" t="s">
        <v>8</v>
      </c>
      <c r="D326" s="20">
        <v>2043</v>
      </c>
      <c r="E326" s="9" t="s">
        <v>47</v>
      </c>
      <c r="F326" s="9" t="s">
        <v>52</v>
      </c>
      <c r="G326" s="30" t="s">
        <v>297</v>
      </c>
      <c r="H326" s="14">
        <f t="shared" si="10"/>
        <v>0</v>
      </c>
      <c r="I326" s="14">
        <f t="shared" si="11"/>
        <v>0</v>
      </c>
    </row>
    <row r="327" spans="2:9" ht="13.2">
      <c r="B327" t="s">
        <v>458</v>
      </c>
      <c r="C327" s="9" t="s">
        <v>8</v>
      </c>
      <c r="D327" s="20">
        <v>2044</v>
      </c>
      <c r="E327" s="9" t="s">
        <v>47</v>
      </c>
      <c r="F327" s="9" t="s">
        <v>52</v>
      </c>
      <c r="G327" s="30" t="s">
        <v>297</v>
      </c>
      <c r="H327" s="14">
        <f t="shared" si="10"/>
        <v>0</v>
      </c>
      <c r="I327" s="14">
        <f t="shared" si="11"/>
        <v>0</v>
      </c>
    </row>
    <row r="328" spans="2:9" ht="13.2">
      <c r="B328" t="s">
        <v>458</v>
      </c>
      <c r="C328" s="9" t="s">
        <v>8</v>
      </c>
      <c r="D328" s="20">
        <v>2045</v>
      </c>
      <c r="E328" s="9" t="s">
        <v>47</v>
      </c>
      <c r="F328" s="9" t="s">
        <v>52</v>
      </c>
      <c r="G328" s="30" t="s">
        <v>297</v>
      </c>
      <c r="H328" s="14">
        <f t="shared" si="10"/>
        <v>0</v>
      </c>
      <c r="I328" s="14">
        <f t="shared" si="11"/>
        <v>0</v>
      </c>
    </row>
    <row r="329" spans="2:9" ht="13.2">
      <c r="B329" t="s">
        <v>458</v>
      </c>
      <c r="C329" s="9" t="s">
        <v>8</v>
      </c>
      <c r="D329" s="20">
        <v>2046</v>
      </c>
      <c r="E329" s="9" t="s">
        <v>47</v>
      </c>
      <c r="F329" s="9" t="s">
        <v>52</v>
      </c>
      <c r="G329" s="30" t="s">
        <v>297</v>
      </c>
      <c r="H329" s="14">
        <f t="shared" si="10"/>
        <v>0</v>
      </c>
      <c r="I329" s="14">
        <f t="shared" si="11"/>
        <v>0</v>
      </c>
    </row>
    <row r="330" spans="2:9" ht="13.2">
      <c r="B330" t="s">
        <v>458</v>
      </c>
      <c r="C330" s="9" t="s">
        <v>8</v>
      </c>
      <c r="D330" s="20">
        <v>2047</v>
      </c>
      <c r="E330" s="9" t="s">
        <v>47</v>
      </c>
      <c r="F330" s="9" t="s">
        <v>52</v>
      </c>
      <c r="G330" s="30" t="s">
        <v>297</v>
      </c>
      <c r="H330" s="14">
        <f t="shared" si="10"/>
        <v>0</v>
      </c>
      <c r="I330" s="14">
        <f t="shared" si="11"/>
        <v>0</v>
      </c>
    </row>
    <row r="331" spans="2:9" ht="13.2">
      <c r="B331" t="s">
        <v>458</v>
      </c>
      <c r="C331" s="9" t="s">
        <v>8</v>
      </c>
      <c r="D331" s="20">
        <v>2048</v>
      </c>
      <c r="E331" s="9" t="s">
        <v>47</v>
      </c>
      <c r="F331" s="9" t="s">
        <v>52</v>
      </c>
      <c r="G331" s="30" t="s">
        <v>297</v>
      </c>
      <c r="H331" s="14">
        <f t="shared" si="10"/>
        <v>0</v>
      </c>
      <c r="I331" s="14">
        <f t="shared" si="11"/>
        <v>0</v>
      </c>
    </row>
    <row r="332" spans="2:9" ht="13.2">
      <c r="B332" t="s">
        <v>458</v>
      </c>
      <c r="C332" s="9" t="s">
        <v>8</v>
      </c>
      <c r="D332" s="20">
        <v>2049</v>
      </c>
      <c r="E332" s="9" t="s">
        <v>47</v>
      </c>
      <c r="F332" s="9" t="s">
        <v>52</v>
      </c>
      <c r="G332" s="30" t="s">
        <v>297</v>
      </c>
      <c r="H332" s="14">
        <f t="shared" si="10"/>
        <v>0</v>
      </c>
      <c r="I332" s="14">
        <f t="shared" si="11"/>
        <v>0</v>
      </c>
    </row>
    <row r="333" spans="2:9" ht="13.2">
      <c r="B333" t="s">
        <v>458</v>
      </c>
      <c r="C333" s="9" t="s">
        <v>8</v>
      </c>
      <c r="D333" s="20">
        <v>2050</v>
      </c>
      <c r="E333" s="9" t="s">
        <v>47</v>
      </c>
      <c r="F333" s="9" t="s">
        <v>52</v>
      </c>
      <c r="G333" s="30" t="s">
        <v>297</v>
      </c>
      <c r="H333" s="14">
        <f t="shared" si="10"/>
        <v>0</v>
      </c>
      <c r="I333" s="14">
        <f t="shared" si="11"/>
        <v>0</v>
      </c>
    </row>
    <row r="334" spans="2:9" ht="13.2">
      <c r="B334" t="s">
        <v>458</v>
      </c>
      <c r="C334" s="9" t="s">
        <v>8</v>
      </c>
      <c r="D334" s="20">
        <v>2010</v>
      </c>
      <c r="E334" s="9" t="s">
        <v>47</v>
      </c>
      <c r="F334" s="9" t="s">
        <v>11</v>
      </c>
      <c r="G334" s="30" t="s">
        <v>297</v>
      </c>
      <c r="H334" s="14">
        <f t="shared" si="10"/>
        <v>19.180855397148676</v>
      </c>
      <c r="I334" s="14">
        <f t="shared" si="11"/>
        <v>19.180855397148676</v>
      </c>
    </row>
    <row r="335" spans="2:9" ht="13.2">
      <c r="B335" t="s">
        <v>458</v>
      </c>
      <c r="C335" s="9" t="s">
        <v>8</v>
      </c>
      <c r="D335" s="20">
        <v>2011</v>
      </c>
      <c r="E335" s="9" t="s">
        <v>47</v>
      </c>
      <c r="F335" s="9" t="s">
        <v>11</v>
      </c>
      <c r="G335" s="30" t="s">
        <v>297</v>
      </c>
      <c r="H335" s="14">
        <f t="shared" si="10"/>
        <v>20.697708757637471</v>
      </c>
      <c r="I335" s="14">
        <f t="shared" si="11"/>
        <v>20.697708757637471</v>
      </c>
    </row>
    <row r="336" spans="2:9" ht="13.2">
      <c r="B336" t="s">
        <v>458</v>
      </c>
      <c r="C336" s="9" t="s">
        <v>8</v>
      </c>
      <c r="D336" s="20">
        <v>2012</v>
      </c>
      <c r="E336" s="9" t="s">
        <v>47</v>
      </c>
      <c r="F336" s="9" t="s">
        <v>11</v>
      </c>
      <c r="G336" s="30" t="s">
        <v>297</v>
      </c>
      <c r="H336" s="14">
        <f t="shared" si="10"/>
        <v>22.5081466395112</v>
      </c>
      <c r="I336" s="14">
        <f t="shared" si="11"/>
        <v>22.5081466395112</v>
      </c>
    </row>
    <row r="337" spans="2:9" ht="13.2">
      <c r="B337" t="s">
        <v>458</v>
      </c>
      <c r="C337" s="9" t="s">
        <v>8</v>
      </c>
      <c r="D337" s="20">
        <v>2013</v>
      </c>
      <c r="E337" s="9" t="s">
        <v>47</v>
      </c>
      <c r="F337" s="9" t="s">
        <v>11</v>
      </c>
      <c r="G337" s="30" t="s">
        <v>297</v>
      </c>
      <c r="H337" s="14">
        <f t="shared" si="10"/>
        <v>27.499083503054987</v>
      </c>
      <c r="I337" s="14">
        <f t="shared" si="11"/>
        <v>27.499083503054987</v>
      </c>
    </row>
    <row r="338" spans="2:9" ht="13.2">
      <c r="B338" t="s">
        <v>458</v>
      </c>
      <c r="C338" s="9" t="s">
        <v>8</v>
      </c>
      <c r="D338" s="20">
        <v>2014</v>
      </c>
      <c r="E338" s="9" t="s">
        <v>47</v>
      </c>
      <c r="F338" s="9" t="s">
        <v>11</v>
      </c>
      <c r="G338" s="30" t="s">
        <v>297</v>
      </c>
      <c r="H338" s="14">
        <f t="shared" si="10"/>
        <v>32.587881873727085</v>
      </c>
      <c r="I338" s="14">
        <f t="shared" si="11"/>
        <v>32.587881873727085</v>
      </c>
    </row>
    <row r="339" spans="2:9" ht="13.2">
      <c r="B339" t="s">
        <v>458</v>
      </c>
      <c r="C339" s="9" t="s">
        <v>8</v>
      </c>
      <c r="D339" s="20">
        <v>2015</v>
      </c>
      <c r="E339" s="9" t="s">
        <v>47</v>
      </c>
      <c r="F339" s="9" t="s">
        <v>11</v>
      </c>
      <c r="G339" s="30" t="s">
        <v>297</v>
      </c>
      <c r="H339" s="14">
        <f t="shared" si="10"/>
        <v>31.995491803278689</v>
      </c>
      <c r="I339" s="14">
        <f t="shared" si="11"/>
        <v>31.995491803278689</v>
      </c>
    </row>
    <row r="340" spans="2:9" ht="13.2">
      <c r="B340" t="s">
        <v>458</v>
      </c>
      <c r="C340" s="9" t="s">
        <v>8</v>
      </c>
      <c r="D340" s="20">
        <v>2016</v>
      </c>
      <c r="E340" s="9" t="s">
        <v>47</v>
      </c>
      <c r="F340" s="9" t="s">
        <v>11</v>
      </c>
      <c r="G340" s="30" t="s">
        <v>297</v>
      </c>
      <c r="H340" s="14">
        <f t="shared" si="10"/>
        <v>31.995491803278689</v>
      </c>
      <c r="I340" s="14">
        <f t="shared" si="11"/>
        <v>31.995491803278689</v>
      </c>
    </row>
    <row r="341" spans="2:9" ht="13.2">
      <c r="B341" t="s">
        <v>458</v>
      </c>
      <c r="C341" s="9" t="s">
        <v>8</v>
      </c>
      <c r="D341" s="20">
        <v>2017</v>
      </c>
      <c r="E341" s="9" t="s">
        <v>47</v>
      </c>
      <c r="F341" s="9" t="s">
        <v>11</v>
      </c>
      <c r="G341" s="30" t="s">
        <v>297</v>
      </c>
      <c r="H341" s="14">
        <f t="shared" si="10"/>
        <v>31.995491803278689</v>
      </c>
      <c r="I341" s="14">
        <f t="shared" si="11"/>
        <v>31.995491803278689</v>
      </c>
    </row>
    <row r="342" spans="2:9" ht="13.2">
      <c r="B342" t="s">
        <v>458</v>
      </c>
      <c r="C342" s="9" t="s">
        <v>8</v>
      </c>
      <c r="D342" s="20">
        <v>2018</v>
      </c>
      <c r="E342" s="9" t="s">
        <v>47</v>
      </c>
      <c r="F342" s="9" t="s">
        <v>11</v>
      </c>
      <c r="G342" s="30" t="s">
        <v>297</v>
      </c>
      <c r="H342" s="14">
        <f t="shared" si="10"/>
        <v>31.995491803278689</v>
      </c>
      <c r="I342" s="14">
        <f t="shared" si="11"/>
        <v>31.995491803278689</v>
      </c>
    </row>
    <row r="343" spans="2:9" ht="13.2">
      <c r="B343" t="s">
        <v>458</v>
      </c>
      <c r="C343" s="9" t="s">
        <v>8</v>
      </c>
      <c r="D343" s="20">
        <v>2019</v>
      </c>
      <c r="E343" s="9" t="s">
        <v>47</v>
      </c>
      <c r="F343" s="9" t="s">
        <v>11</v>
      </c>
      <c r="G343" s="30" t="s">
        <v>297</v>
      </c>
      <c r="H343" s="14">
        <f t="shared" si="10"/>
        <v>31.995491803278689</v>
      </c>
      <c r="I343" s="14">
        <f t="shared" si="11"/>
        <v>31.995491803278689</v>
      </c>
    </row>
    <row r="344" spans="2:9" ht="13.2">
      <c r="B344" t="s">
        <v>458</v>
      </c>
      <c r="C344" s="9" t="s">
        <v>8</v>
      </c>
      <c r="D344" s="20">
        <v>2020</v>
      </c>
      <c r="E344" s="9" t="s">
        <v>47</v>
      </c>
      <c r="F344" s="9" t="s">
        <v>11</v>
      </c>
      <c r="G344" s="30" t="s">
        <v>297</v>
      </c>
      <c r="H344" s="14">
        <f t="shared" si="10"/>
        <v>31.995491803278689</v>
      </c>
      <c r="I344" s="14">
        <f t="shared" si="11"/>
        <v>31.995491803278689</v>
      </c>
    </row>
    <row r="345" spans="2:9" ht="13.2">
      <c r="B345" t="s">
        <v>458</v>
      </c>
      <c r="C345" s="9" t="s">
        <v>8</v>
      </c>
      <c r="D345" s="20">
        <v>2021</v>
      </c>
      <c r="E345" s="9" t="s">
        <v>47</v>
      </c>
      <c r="F345" s="9" t="s">
        <v>11</v>
      </c>
      <c r="G345" s="30" t="s">
        <v>297</v>
      </c>
      <c r="H345" s="14">
        <f t="shared" si="10"/>
        <v>31.995491803278689</v>
      </c>
      <c r="I345" s="14">
        <f t="shared" si="11"/>
        <v>31.995491803278689</v>
      </c>
    </row>
    <row r="346" spans="2:9" ht="13.2">
      <c r="B346" t="s">
        <v>458</v>
      </c>
      <c r="C346" s="9" t="s">
        <v>8</v>
      </c>
      <c r="D346" s="20">
        <v>2022</v>
      </c>
      <c r="E346" s="9" t="s">
        <v>47</v>
      </c>
      <c r="F346" s="9" t="s">
        <v>11</v>
      </c>
      <c r="G346" s="30" t="s">
        <v>297</v>
      </c>
      <c r="H346" s="14">
        <f t="shared" si="10"/>
        <v>31.995491803278689</v>
      </c>
      <c r="I346" s="14">
        <f t="shared" si="11"/>
        <v>31.995491803278689</v>
      </c>
    </row>
    <row r="347" spans="2:9" ht="13.2">
      <c r="B347" t="s">
        <v>458</v>
      </c>
      <c r="C347" s="9" t="s">
        <v>8</v>
      </c>
      <c r="D347" s="20">
        <v>2023</v>
      </c>
      <c r="E347" s="9" t="s">
        <v>47</v>
      </c>
      <c r="F347" s="9" t="s">
        <v>11</v>
      </c>
      <c r="G347" s="30" t="s">
        <v>297</v>
      </c>
      <c r="H347" s="14">
        <f t="shared" si="10"/>
        <v>31.995491803278689</v>
      </c>
      <c r="I347" s="14">
        <f t="shared" si="11"/>
        <v>31.995491803278689</v>
      </c>
    </row>
    <row r="348" spans="2:9" ht="13.2">
      <c r="B348" t="s">
        <v>458</v>
      </c>
      <c r="C348" s="9" t="s">
        <v>8</v>
      </c>
      <c r="D348" s="20">
        <v>2024</v>
      </c>
      <c r="E348" s="9" t="s">
        <v>47</v>
      </c>
      <c r="F348" s="9" t="s">
        <v>11</v>
      </c>
      <c r="G348" s="30" t="s">
        <v>297</v>
      </c>
      <c r="H348" s="14">
        <f t="shared" si="10"/>
        <v>31.995491803278689</v>
      </c>
      <c r="I348" s="14">
        <f t="shared" si="11"/>
        <v>31.995491803278689</v>
      </c>
    </row>
    <row r="349" spans="2:9" ht="13.2">
      <c r="B349" t="s">
        <v>458</v>
      </c>
      <c r="C349" s="9" t="s">
        <v>8</v>
      </c>
      <c r="D349" s="20">
        <v>2025</v>
      </c>
      <c r="E349" s="9" t="s">
        <v>47</v>
      </c>
      <c r="F349" s="9" t="s">
        <v>11</v>
      </c>
      <c r="G349" s="30" t="s">
        <v>297</v>
      </c>
      <c r="H349" s="14">
        <f t="shared" si="10"/>
        <v>31.995491803278689</v>
      </c>
      <c r="I349" s="14">
        <f t="shared" si="11"/>
        <v>31.995491803278689</v>
      </c>
    </row>
    <row r="350" spans="2:9" ht="13.2">
      <c r="B350" t="s">
        <v>458</v>
      </c>
      <c r="C350" s="9" t="s">
        <v>8</v>
      </c>
      <c r="D350" s="20">
        <v>2026</v>
      </c>
      <c r="E350" s="9" t="s">
        <v>47</v>
      </c>
      <c r="F350" s="9" t="s">
        <v>11</v>
      </c>
      <c r="G350" s="30" t="s">
        <v>297</v>
      </c>
      <c r="H350" s="14">
        <f t="shared" si="10"/>
        <v>31.995491803278689</v>
      </c>
      <c r="I350" s="14">
        <f t="shared" si="11"/>
        <v>31.995491803278689</v>
      </c>
    </row>
    <row r="351" spans="2:9" ht="13.2">
      <c r="B351" t="s">
        <v>458</v>
      </c>
      <c r="C351" s="9" t="s">
        <v>8</v>
      </c>
      <c r="D351" s="20">
        <v>2027</v>
      </c>
      <c r="E351" s="9" t="s">
        <v>47</v>
      </c>
      <c r="F351" s="9" t="s">
        <v>11</v>
      </c>
      <c r="G351" s="30" t="s">
        <v>297</v>
      </c>
      <c r="H351" s="14">
        <f t="shared" si="10"/>
        <v>31.995491803278689</v>
      </c>
      <c r="I351" s="14">
        <f t="shared" si="11"/>
        <v>31.995491803278689</v>
      </c>
    </row>
    <row r="352" spans="2:9" ht="13.2">
      <c r="B352" t="s">
        <v>458</v>
      </c>
      <c r="C352" s="9" t="s">
        <v>8</v>
      </c>
      <c r="D352" s="20">
        <v>2028</v>
      </c>
      <c r="E352" s="9" t="s">
        <v>47</v>
      </c>
      <c r="F352" s="9" t="s">
        <v>11</v>
      </c>
      <c r="G352" s="30" t="s">
        <v>297</v>
      </c>
      <c r="H352" s="14">
        <f t="shared" si="10"/>
        <v>31.995491803278689</v>
      </c>
      <c r="I352" s="14">
        <f t="shared" si="11"/>
        <v>31.995491803278689</v>
      </c>
    </row>
    <row r="353" spans="2:9" ht="13.2">
      <c r="B353" t="s">
        <v>458</v>
      </c>
      <c r="C353" s="9" t="s">
        <v>8</v>
      </c>
      <c r="D353" s="20">
        <v>2029</v>
      </c>
      <c r="E353" s="9" t="s">
        <v>47</v>
      </c>
      <c r="F353" s="9" t="s">
        <v>11</v>
      </c>
      <c r="G353" s="30" t="s">
        <v>297</v>
      </c>
      <c r="H353" s="14">
        <f t="shared" si="10"/>
        <v>31.995491803278689</v>
      </c>
      <c r="I353" s="14">
        <f t="shared" si="11"/>
        <v>31.995491803278689</v>
      </c>
    </row>
    <row r="354" spans="2:9" ht="13.2">
      <c r="B354" t="s">
        <v>458</v>
      </c>
      <c r="C354" s="9" t="s">
        <v>8</v>
      </c>
      <c r="D354" s="20">
        <v>2030</v>
      </c>
      <c r="E354" s="9" t="s">
        <v>47</v>
      </c>
      <c r="F354" s="9" t="s">
        <v>11</v>
      </c>
      <c r="G354" s="30" t="s">
        <v>297</v>
      </c>
      <c r="H354" s="14">
        <f t="shared" si="10"/>
        <v>31.995491803278689</v>
      </c>
      <c r="I354" s="14">
        <f t="shared" si="11"/>
        <v>31.995491803278689</v>
      </c>
    </row>
    <row r="355" spans="2:9" ht="13.2">
      <c r="B355" t="s">
        <v>458</v>
      </c>
      <c r="C355" s="9" t="s">
        <v>8</v>
      </c>
      <c r="D355" s="20">
        <v>2031</v>
      </c>
      <c r="E355" s="9" t="s">
        <v>47</v>
      </c>
      <c r="F355" s="9" t="s">
        <v>11</v>
      </c>
      <c r="G355" s="30" t="s">
        <v>297</v>
      </c>
      <c r="H355" s="14">
        <f t="shared" si="10"/>
        <v>31.995491803278689</v>
      </c>
      <c r="I355" s="14">
        <f t="shared" si="11"/>
        <v>31.995491803278689</v>
      </c>
    </row>
    <row r="356" spans="2:9" ht="13.2">
      <c r="B356" t="s">
        <v>458</v>
      </c>
      <c r="C356" s="9" t="s">
        <v>8</v>
      </c>
      <c r="D356" s="20">
        <v>2032</v>
      </c>
      <c r="E356" s="9" t="s">
        <v>47</v>
      </c>
      <c r="F356" s="9" t="s">
        <v>11</v>
      </c>
      <c r="G356" s="30" t="s">
        <v>297</v>
      </c>
      <c r="H356" s="14">
        <f t="shared" si="10"/>
        <v>31.995491803278689</v>
      </c>
      <c r="I356" s="14">
        <f t="shared" si="11"/>
        <v>31.995491803278689</v>
      </c>
    </row>
    <row r="357" spans="2:9" ht="13.2">
      <c r="B357" t="s">
        <v>458</v>
      </c>
      <c r="C357" s="9" t="s">
        <v>8</v>
      </c>
      <c r="D357" s="20">
        <v>2033</v>
      </c>
      <c r="E357" s="9" t="s">
        <v>47</v>
      </c>
      <c r="F357" s="9" t="s">
        <v>11</v>
      </c>
      <c r="G357" s="30" t="s">
        <v>297</v>
      </c>
      <c r="H357" s="14">
        <f t="shared" si="10"/>
        <v>31.995491803278689</v>
      </c>
      <c r="I357" s="14">
        <f t="shared" si="11"/>
        <v>31.995491803278689</v>
      </c>
    </row>
    <row r="358" spans="2:9" ht="13.2">
      <c r="B358" t="s">
        <v>458</v>
      </c>
      <c r="C358" s="9" t="s">
        <v>8</v>
      </c>
      <c r="D358" s="20">
        <v>2034</v>
      </c>
      <c r="E358" s="9" t="s">
        <v>47</v>
      </c>
      <c r="F358" s="9" t="s">
        <v>11</v>
      </c>
      <c r="G358" s="30" t="s">
        <v>297</v>
      </c>
      <c r="H358" s="14">
        <f t="shared" ref="H358:H421" si="12">HLOOKUP(F358,FuelTax2,D358-2006,FALSE)</f>
        <v>31.995491803278689</v>
      </c>
      <c r="I358" s="14">
        <f t="shared" ref="I358:I421" si="13">H358</f>
        <v>31.995491803278689</v>
      </c>
    </row>
    <row r="359" spans="2:9" ht="13.2">
      <c r="B359" t="s">
        <v>458</v>
      </c>
      <c r="C359" s="9" t="s">
        <v>8</v>
      </c>
      <c r="D359" s="20">
        <v>2035</v>
      </c>
      <c r="E359" s="9" t="s">
        <v>47</v>
      </c>
      <c r="F359" s="9" t="s">
        <v>11</v>
      </c>
      <c r="G359" s="30" t="s">
        <v>297</v>
      </c>
      <c r="H359" s="14">
        <f t="shared" si="12"/>
        <v>31.995491803278689</v>
      </c>
      <c r="I359" s="14">
        <f t="shared" si="13"/>
        <v>31.995491803278689</v>
      </c>
    </row>
    <row r="360" spans="2:9" ht="13.2">
      <c r="B360" t="s">
        <v>458</v>
      </c>
      <c r="C360" s="9" t="s">
        <v>8</v>
      </c>
      <c r="D360" s="20">
        <v>2036</v>
      </c>
      <c r="E360" s="9" t="s">
        <v>47</v>
      </c>
      <c r="F360" s="9" t="s">
        <v>11</v>
      </c>
      <c r="G360" s="30" t="s">
        <v>297</v>
      </c>
      <c r="H360" s="14">
        <f t="shared" si="12"/>
        <v>31.995491803278689</v>
      </c>
      <c r="I360" s="14">
        <f t="shared" si="13"/>
        <v>31.995491803278689</v>
      </c>
    </row>
    <row r="361" spans="2:9" ht="13.2">
      <c r="B361" t="s">
        <v>458</v>
      </c>
      <c r="C361" s="9" t="s">
        <v>8</v>
      </c>
      <c r="D361" s="20">
        <v>2037</v>
      </c>
      <c r="E361" s="9" t="s">
        <v>47</v>
      </c>
      <c r="F361" s="9" t="s">
        <v>11</v>
      </c>
      <c r="G361" s="30" t="s">
        <v>297</v>
      </c>
      <c r="H361" s="14">
        <f t="shared" si="12"/>
        <v>31.995491803278689</v>
      </c>
      <c r="I361" s="14">
        <f t="shared" si="13"/>
        <v>31.995491803278689</v>
      </c>
    </row>
    <row r="362" spans="2:9" ht="13.2">
      <c r="B362" t="s">
        <v>458</v>
      </c>
      <c r="C362" s="9" t="s">
        <v>8</v>
      </c>
      <c r="D362" s="20">
        <v>2038</v>
      </c>
      <c r="E362" s="9" t="s">
        <v>47</v>
      </c>
      <c r="F362" s="9" t="s">
        <v>11</v>
      </c>
      <c r="G362" s="30" t="s">
        <v>297</v>
      </c>
      <c r="H362" s="14">
        <f t="shared" si="12"/>
        <v>31.995491803278689</v>
      </c>
      <c r="I362" s="14">
        <f t="shared" si="13"/>
        <v>31.995491803278689</v>
      </c>
    </row>
    <row r="363" spans="2:9" ht="13.2">
      <c r="B363" t="s">
        <v>458</v>
      </c>
      <c r="C363" s="9" t="s">
        <v>8</v>
      </c>
      <c r="D363" s="20">
        <v>2039</v>
      </c>
      <c r="E363" s="9" t="s">
        <v>47</v>
      </c>
      <c r="F363" s="9" t="s">
        <v>11</v>
      </c>
      <c r="G363" s="30" t="s">
        <v>297</v>
      </c>
      <c r="H363" s="14">
        <f t="shared" si="12"/>
        <v>31.995491803278689</v>
      </c>
      <c r="I363" s="14">
        <f t="shared" si="13"/>
        <v>31.995491803278689</v>
      </c>
    </row>
    <row r="364" spans="2:9" ht="13.2">
      <c r="B364" t="s">
        <v>458</v>
      </c>
      <c r="C364" s="9" t="s">
        <v>8</v>
      </c>
      <c r="D364" s="20">
        <v>2040</v>
      </c>
      <c r="E364" s="9" t="s">
        <v>47</v>
      </c>
      <c r="F364" s="9" t="s">
        <v>11</v>
      </c>
      <c r="G364" s="30" t="s">
        <v>297</v>
      </c>
      <c r="H364" s="14">
        <f t="shared" si="12"/>
        <v>31.995491803278689</v>
      </c>
      <c r="I364" s="14">
        <f t="shared" si="13"/>
        <v>31.995491803278689</v>
      </c>
    </row>
    <row r="365" spans="2:9" ht="13.2">
      <c r="B365" t="s">
        <v>458</v>
      </c>
      <c r="C365" s="9" t="s">
        <v>8</v>
      </c>
      <c r="D365" s="20">
        <v>2041</v>
      </c>
      <c r="E365" s="9" t="s">
        <v>47</v>
      </c>
      <c r="F365" s="9" t="s">
        <v>11</v>
      </c>
      <c r="G365" s="30" t="s">
        <v>297</v>
      </c>
      <c r="H365" s="14">
        <f t="shared" si="12"/>
        <v>31.995491803278689</v>
      </c>
      <c r="I365" s="14">
        <f t="shared" si="13"/>
        <v>31.995491803278689</v>
      </c>
    </row>
    <row r="366" spans="2:9" ht="13.2">
      <c r="B366" t="s">
        <v>458</v>
      </c>
      <c r="C366" s="9" t="s">
        <v>8</v>
      </c>
      <c r="D366" s="20">
        <v>2042</v>
      </c>
      <c r="E366" s="9" t="s">
        <v>47</v>
      </c>
      <c r="F366" s="9" t="s">
        <v>11</v>
      </c>
      <c r="G366" s="30" t="s">
        <v>297</v>
      </c>
      <c r="H366" s="14">
        <f t="shared" si="12"/>
        <v>31.995491803278689</v>
      </c>
      <c r="I366" s="14">
        <f t="shared" si="13"/>
        <v>31.995491803278689</v>
      </c>
    </row>
    <row r="367" spans="2:9" ht="13.2">
      <c r="B367" t="s">
        <v>458</v>
      </c>
      <c r="C367" s="9" t="s">
        <v>8</v>
      </c>
      <c r="D367" s="20">
        <v>2043</v>
      </c>
      <c r="E367" s="9" t="s">
        <v>47</v>
      </c>
      <c r="F367" s="9" t="s">
        <v>11</v>
      </c>
      <c r="G367" s="30" t="s">
        <v>297</v>
      </c>
      <c r="H367" s="14">
        <f t="shared" si="12"/>
        <v>31.995491803278689</v>
      </c>
      <c r="I367" s="14">
        <f t="shared" si="13"/>
        <v>31.995491803278689</v>
      </c>
    </row>
    <row r="368" spans="2:9" ht="13.2">
      <c r="B368" t="s">
        <v>458</v>
      </c>
      <c r="C368" s="9" t="s">
        <v>8</v>
      </c>
      <c r="D368" s="20">
        <v>2044</v>
      </c>
      <c r="E368" s="9" t="s">
        <v>47</v>
      </c>
      <c r="F368" s="9" t="s">
        <v>11</v>
      </c>
      <c r="G368" s="30" t="s">
        <v>297</v>
      </c>
      <c r="H368" s="14">
        <f t="shared" si="12"/>
        <v>31.995491803278689</v>
      </c>
      <c r="I368" s="14">
        <f t="shared" si="13"/>
        <v>31.995491803278689</v>
      </c>
    </row>
    <row r="369" spans="2:9" ht="13.2">
      <c r="B369" t="s">
        <v>458</v>
      </c>
      <c r="C369" s="9" t="s">
        <v>8</v>
      </c>
      <c r="D369" s="20">
        <v>2045</v>
      </c>
      <c r="E369" s="9" t="s">
        <v>47</v>
      </c>
      <c r="F369" s="9" t="s">
        <v>11</v>
      </c>
      <c r="G369" s="30" t="s">
        <v>297</v>
      </c>
      <c r="H369" s="14">
        <f t="shared" si="12"/>
        <v>31.995491803278689</v>
      </c>
      <c r="I369" s="14">
        <f t="shared" si="13"/>
        <v>31.995491803278689</v>
      </c>
    </row>
    <row r="370" spans="2:9" ht="13.2">
      <c r="B370" t="s">
        <v>458</v>
      </c>
      <c r="C370" s="9" t="s">
        <v>8</v>
      </c>
      <c r="D370" s="20">
        <v>2046</v>
      </c>
      <c r="E370" s="9" t="s">
        <v>47</v>
      </c>
      <c r="F370" s="9" t="s">
        <v>11</v>
      </c>
      <c r="G370" s="30" t="s">
        <v>297</v>
      </c>
      <c r="H370" s="14">
        <f t="shared" si="12"/>
        <v>31.995491803278689</v>
      </c>
      <c r="I370" s="14">
        <f t="shared" si="13"/>
        <v>31.995491803278689</v>
      </c>
    </row>
    <row r="371" spans="2:9" ht="13.2">
      <c r="B371" t="s">
        <v>458</v>
      </c>
      <c r="C371" s="9" t="s">
        <v>8</v>
      </c>
      <c r="D371" s="20">
        <v>2047</v>
      </c>
      <c r="E371" s="9" t="s">
        <v>47</v>
      </c>
      <c r="F371" s="9" t="s">
        <v>11</v>
      </c>
      <c r="G371" s="30" t="s">
        <v>297</v>
      </c>
      <c r="H371" s="14">
        <f t="shared" si="12"/>
        <v>31.995491803278689</v>
      </c>
      <c r="I371" s="14">
        <f t="shared" si="13"/>
        <v>31.995491803278689</v>
      </c>
    </row>
    <row r="372" spans="2:9" ht="13.2">
      <c r="B372" t="s">
        <v>458</v>
      </c>
      <c r="C372" s="9" t="s">
        <v>8</v>
      </c>
      <c r="D372" s="20">
        <v>2048</v>
      </c>
      <c r="E372" s="9" t="s">
        <v>47</v>
      </c>
      <c r="F372" s="9" t="s">
        <v>11</v>
      </c>
      <c r="G372" s="30" t="s">
        <v>297</v>
      </c>
      <c r="H372" s="14">
        <f t="shared" si="12"/>
        <v>31.995491803278689</v>
      </c>
      <c r="I372" s="14">
        <f t="shared" si="13"/>
        <v>31.995491803278689</v>
      </c>
    </row>
    <row r="373" spans="2:9" ht="13.2">
      <c r="B373" t="s">
        <v>458</v>
      </c>
      <c r="C373" s="9" t="s">
        <v>8</v>
      </c>
      <c r="D373" s="20">
        <v>2049</v>
      </c>
      <c r="E373" s="9" t="s">
        <v>47</v>
      </c>
      <c r="F373" s="9" t="s">
        <v>11</v>
      </c>
      <c r="G373" s="30" t="s">
        <v>297</v>
      </c>
      <c r="H373" s="14">
        <f t="shared" si="12"/>
        <v>31.995491803278689</v>
      </c>
      <c r="I373" s="14">
        <f t="shared" si="13"/>
        <v>31.995491803278689</v>
      </c>
    </row>
    <row r="374" spans="2:9" ht="13.2">
      <c r="B374" t="s">
        <v>458</v>
      </c>
      <c r="C374" s="9" t="s">
        <v>8</v>
      </c>
      <c r="D374" s="20">
        <v>2050</v>
      </c>
      <c r="E374" s="9" t="s">
        <v>47</v>
      </c>
      <c r="F374" s="9" t="s">
        <v>11</v>
      </c>
      <c r="G374" s="30" t="s">
        <v>297</v>
      </c>
      <c r="H374" s="14">
        <f t="shared" si="12"/>
        <v>31.995491803278689</v>
      </c>
      <c r="I374" s="14">
        <f t="shared" si="13"/>
        <v>31.995491803278689</v>
      </c>
    </row>
    <row r="375" spans="2:9" ht="13.2">
      <c r="B375" t="s">
        <v>458</v>
      </c>
      <c r="C375" s="9" t="s">
        <v>8</v>
      </c>
      <c r="D375" s="20">
        <v>2010</v>
      </c>
      <c r="E375" s="9" t="s">
        <v>47</v>
      </c>
      <c r="F375" s="9" t="s">
        <v>55</v>
      </c>
      <c r="G375" s="30" t="s">
        <v>297</v>
      </c>
      <c r="H375" s="14">
        <f t="shared" si="12"/>
        <v>157.33177307876053</v>
      </c>
      <c r="I375" s="14">
        <f t="shared" si="13"/>
        <v>157.33177307876053</v>
      </c>
    </row>
    <row r="376" spans="2:9" ht="13.2">
      <c r="B376" t="s">
        <v>458</v>
      </c>
      <c r="C376" s="9" t="s">
        <v>8</v>
      </c>
      <c r="D376" s="20">
        <v>2011</v>
      </c>
      <c r="E376" s="9" t="s">
        <v>47</v>
      </c>
      <c r="F376" s="9" t="s">
        <v>55</v>
      </c>
      <c r="G376" s="30" t="s">
        <v>297</v>
      </c>
      <c r="H376" s="14">
        <f t="shared" si="12"/>
        <v>172.81957055706417</v>
      </c>
      <c r="I376" s="14">
        <f t="shared" si="13"/>
        <v>172.81957055706417</v>
      </c>
    </row>
    <row r="377" spans="2:9" ht="13.2">
      <c r="B377" t="s">
        <v>458</v>
      </c>
      <c r="C377" s="9" t="s">
        <v>8</v>
      </c>
      <c r="D377" s="20">
        <v>2012</v>
      </c>
      <c r="E377" s="9" t="s">
        <v>47</v>
      </c>
      <c r="F377" s="9" t="s">
        <v>55</v>
      </c>
      <c r="G377" s="30" t="s">
        <v>297</v>
      </c>
      <c r="H377" s="14">
        <f t="shared" si="12"/>
        <v>172.40168985848894</v>
      </c>
      <c r="I377" s="14">
        <f t="shared" si="13"/>
        <v>172.40168985848894</v>
      </c>
    </row>
    <row r="378" spans="2:9" ht="13.2">
      <c r="B378" t="s">
        <v>458</v>
      </c>
      <c r="C378" s="9" t="s">
        <v>8</v>
      </c>
      <c r="D378" s="20">
        <v>2013</v>
      </c>
      <c r="E378" s="9" t="s">
        <v>47</v>
      </c>
      <c r="F378" s="9" t="s">
        <v>55</v>
      </c>
      <c r="G378" s="30" t="s">
        <v>297</v>
      </c>
      <c r="H378" s="14">
        <f t="shared" si="12"/>
        <v>93.448696436694405</v>
      </c>
      <c r="I378" s="14">
        <f t="shared" si="13"/>
        <v>93.448696436694405</v>
      </c>
    </row>
    <row r="379" spans="2:9" ht="13.2">
      <c r="B379" t="s">
        <v>458</v>
      </c>
      <c r="C379" s="9" t="s">
        <v>8</v>
      </c>
      <c r="D379" s="20">
        <v>2014</v>
      </c>
      <c r="E379" s="9" t="s">
        <v>47</v>
      </c>
      <c r="F379" s="9" t="s">
        <v>55</v>
      </c>
      <c r="G379" s="30" t="s">
        <v>297</v>
      </c>
      <c r="H379" s="14">
        <f t="shared" si="12"/>
        <v>111.99705815795429</v>
      </c>
      <c r="I379" s="14">
        <f t="shared" si="13"/>
        <v>111.99705815795429</v>
      </c>
    </row>
    <row r="380" spans="2:9" ht="13.2">
      <c r="B380" t="s">
        <v>458</v>
      </c>
      <c r="C380" s="9" t="s">
        <v>8</v>
      </c>
      <c r="D380" s="20">
        <v>2015</v>
      </c>
      <c r="E380" s="9" t="s">
        <v>47</v>
      </c>
      <c r="F380" s="9" t="s">
        <v>55</v>
      </c>
      <c r="G380" s="30" t="s">
        <v>297</v>
      </c>
      <c r="H380" s="14">
        <f t="shared" si="12"/>
        <v>106.4</v>
      </c>
      <c r="I380" s="14">
        <f t="shared" si="13"/>
        <v>106.4</v>
      </c>
    </row>
    <row r="381" spans="2:9" ht="13.2">
      <c r="B381" t="s">
        <v>458</v>
      </c>
      <c r="C381" s="9" t="s">
        <v>8</v>
      </c>
      <c r="D381" s="20">
        <v>2016</v>
      </c>
      <c r="E381" s="9" t="s">
        <v>47</v>
      </c>
      <c r="F381" s="9" t="s">
        <v>55</v>
      </c>
      <c r="G381" s="30" t="s">
        <v>297</v>
      </c>
      <c r="H381" s="14">
        <f t="shared" si="12"/>
        <v>106.4</v>
      </c>
      <c r="I381" s="14">
        <f t="shared" si="13"/>
        <v>106.4</v>
      </c>
    </row>
    <row r="382" spans="2:9" ht="13.2">
      <c r="B382" t="s">
        <v>458</v>
      </c>
      <c r="C382" s="9" t="s">
        <v>8</v>
      </c>
      <c r="D382" s="20">
        <v>2017</v>
      </c>
      <c r="E382" s="9" t="s">
        <v>47</v>
      </c>
      <c r="F382" s="9" t="s">
        <v>55</v>
      </c>
      <c r="G382" s="30" t="s">
        <v>297</v>
      </c>
      <c r="H382" s="14">
        <f t="shared" si="12"/>
        <v>112.5</v>
      </c>
      <c r="I382" s="14">
        <f t="shared" si="13"/>
        <v>112.5</v>
      </c>
    </row>
    <row r="383" spans="2:9" ht="13.2">
      <c r="B383" t="s">
        <v>458</v>
      </c>
      <c r="C383" s="9" t="s">
        <v>8</v>
      </c>
      <c r="D383" s="20">
        <v>2018</v>
      </c>
      <c r="E383" s="9" t="s">
        <v>47</v>
      </c>
      <c r="F383" s="9" t="s">
        <v>55</v>
      </c>
      <c r="G383" s="30" t="s">
        <v>297</v>
      </c>
      <c r="H383" s="14">
        <f t="shared" si="12"/>
        <v>70.833333333333329</v>
      </c>
      <c r="I383" s="14">
        <f t="shared" si="13"/>
        <v>70.833333333333329</v>
      </c>
    </row>
    <row r="384" spans="2:9" ht="13.2">
      <c r="B384" t="s">
        <v>458</v>
      </c>
      <c r="C384" s="9" t="s">
        <v>8</v>
      </c>
      <c r="D384" s="20">
        <v>2019</v>
      </c>
      <c r="E384" s="9" t="s">
        <v>47</v>
      </c>
      <c r="F384" s="9" t="s">
        <v>55</v>
      </c>
      <c r="G384" s="30" t="s">
        <v>297</v>
      </c>
      <c r="H384" s="14">
        <f t="shared" si="12"/>
        <v>70.833333333333329</v>
      </c>
      <c r="I384" s="14">
        <f t="shared" si="13"/>
        <v>70.833333333333329</v>
      </c>
    </row>
    <row r="385" spans="2:9" ht="13.2">
      <c r="B385" t="s">
        <v>458</v>
      </c>
      <c r="C385" s="9" t="s">
        <v>8</v>
      </c>
      <c r="D385" s="20">
        <v>2020</v>
      </c>
      <c r="E385" s="9" t="s">
        <v>47</v>
      </c>
      <c r="F385" s="9" t="s">
        <v>55</v>
      </c>
      <c r="G385" s="30" t="s">
        <v>297</v>
      </c>
      <c r="H385" s="14">
        <f t="shared" si="12"/>
        <v>43.055555555555557</v>
      </c>
      <c r="I385" s="14">
        <f t="shared" si="13"/>
        <v>43.055555555555557</v>
      </c>
    </row>
    <row r="386" spans="2:9" ht="13.2">
      <c r="B386" t="s">
        <v>458</v>
      </c>
      <c r="C386" s="9" t="s">
        <v>8</v>
      </c>
      <c r="D386" s="20">
        <v>2021</v>
      </c>
      <c r="E386" s="9" t="s">
        <v>47</v>
      </c>
      <c r="F386" s="9" t="s">
        <v>55</v>
      </c>
      <c r="G386" s="30" t="s">
        <v>297</v>
      </c>
      <c r="H386" s="14">
        <f t="shared" si="12"/>
        <v>41.666666666666671</v>
      </c>
      <c r="I386" s="14">
        <f t="shared" si="13"/>
        <v>41.666666666666671</v>
      </c>
    </row>
    <row r="387" spans="2:9" ht="13.2">
      <c r="B387" t="s">
        <v>458</v>
      </c>
      <c r="C387" s="9" t="s">
        <v>8</v>
      </c>
      <c r="D387" s="20">
        <v>2022</v>
      </c>
      <c r="E387" s="9" t="s">
        <v>47</v>
      </c>
      <c r="F387" s="9" t="s">
        <v>55</v>
      </c>
      <c r="G387" s="30" t="s">
        <v>297</v>
      </c>
      <c r="H387" s="14">
        <f t="shared" si="12"/>
        <v>41.666666666666671</v>
      </c>
      <c r="I387" s="14">
        <f t="shared" si="13"/>
        <v>41.666666666666671</v>
      </c>
    </row>
    <row r="388" spans="2:9" ht="13.2">
      <c r="B388" t="s">
        <v>458</v>
      </c>
      <c r="C388" s="9" t="s">
        <v>8</v>
      </c>
      <c r="D388" s="20">
        <v>2023</v>
      </c>
      <c r="E388" s="9" t="s">
        <v>47</v>
      </c>
      <c r="F388" s="9" t="s">
        <v>55</v>
      </c>
      <c r="G388" s="30" t="s">
        <v>297</v>
      </c>
      <c r="H388" s="14">
        <f t="shared" si="12"/>
        <v>41.666666666666671</v>
      </c>
      <c r="I388" s="14">
        <f t="shared" si="13"/>
        <v>41.666666666666671</v>
      </c>
    </row>
    <row r="389" spans="2:9" ht="13.2">
      <c r="B389" t="s">
        <v>458</v>
      </c>
      <c r="C389" s="9" t="s">
        <v>8</v>
      </c>
      <c r="D389" s="20">
        <v>2024</v>
      </c>
      <c r="E389" s="9" t="s">
        <v>47</v>
      </c>
      <c r="F389" s="9" t="s">
        <v>55</v>
      </c>
      <c r="G389" s="30" t="s">
        <v>297</v>
      </c>
      <c r="H389" s="14">
        <f t="shared" si="12"/>
        <v>41.666666666666671</v>
      </c>
      <c r="I389" s="14">
        <f t="shared" si="13"/>
        <v>41.666666666666671</v>
      </c>
    </row>
    <row r="390" spans="2:9" ht="13.2">
      <c r="B390" t="s">
        <v>458</v>
      </c>
      <c r="C390" s="9" t="s">
        <v>8</v>
      </c>
      <c r="D390" s="20">
        <v>2025</v>
      </c>
      <c r="E390" s="9" t="s">
        <v>47</v>
      </c>
      <c r="F390" s="9" t="s">
        <v>55</v>
      </c>
      <c r="G390" s="30" t="s">
        <v>297</v>
      </c>
      <c r="H390" s="14">
        <f t="shared" si="12"/>
        <v>41.666666666666671</v>
      </c>
      <c r="I390" s="14">
        <f t="shared" si="13"/>
        <v>41.666666666666671</v>
      </c>
    </row>
    <row r="391" spans="2:9" ht="13.2">
      <c r="B391" t="s">
        <v>458</v>
      </c>
      <c r="C391" s="9" t="s">
        <v>8</v>
      </c>
      <c r="D391" s="20">
        <v>2026</v>
      </c>
      <c r="E391" s="9" t="s">
        <v>47</v>
      </c>
      <c r="F391" s="9" t="s">
        <v>55</v>
      </c>
      <c r="G391" s="30" t="s">
        <v>297</v>
      </c>
      <c r="H391" s="14">
        <f t="shared" si="12"/>
        <v>41.666666666666671</v>
      </c>
      <c r="I391" s="14">
        <f t="shared" si="13"/>
        <v>41.666666666666671</v>
      </c>
    </row>
    <row r="392" spans="2:9" ht="13.2">
      <c r="B392" t="s">
        <v>458</v>
      </c>
      <c r="C392" s="9" t="s">
        <v>8</v>
      </c>
      <c r="D392" s="20">
        <v>2027</v>
      </c>
      <c r="E392" s="9" t="s">
        <v>47</v>
      </c>
      <c r="F392" s="9" t="s">
        <v>55</v>
      </c>
      <c r="G392" s="30" t="s">
        <v>297</v>
      </c>
      <c r="H392" s="14">
        <f t="shared" si="12"/>
        <v>41.666666666666671</v>
      </c>
      <c r="I392" s="14">
        <f t="shared" si="13"/>
        <v>41.666666666666671</v>
      </c>
    </row>
    <row r="393" spans="2:9" ht="13.2">
      <c r="B393" t="s">
        <v>458</v>
      </c>
      <c r="C393" s="9" t="s">
        <v>8</v>
      </c>
      <c r="D393" s="20">
        <v>2028</v>
      </c>
      <c r="E393" s="9" t="s">
        <v>47</v>
      </c>
      <c r="F393" s="9" t="s">
        <v>55</v>
      </c>
      <c r="G393" s="30" t="s">
        <v>297</v>
      </c>
      <c r="H393" s="14">
        <f t="shared" si="12"/>
        <v>41.666666666666671</v>
      </c>
      <c r="I393" s="14">
        <f t="shared" si="13"/>
        <v>41.666666666666671</v>
      </c>
    </row>
    <row r="394" spans="2:9" ht="13.2">
      <c r="B394" t="s">
        <v>458</v>
      </c>
      <c r="C394" s="9" t="s">
        <v>8</v>
      </c>
      <c r="D394" s="20">
        <v>2029</v>
      </c>
      <c r="E394" s="9" t="s">
        <v>47</v>
      </c>
      <c r="F394" s="9" t="s">
        <v>55</v>
      </c>
      <c r="G394" s="30" t="s">
        <v>297</v>
      </c>
      <c r="H394" s="14">
        <f t="shared" si="12"/>
        <v>41.666666666666671</v>
      </c>
      <c r="I394" s="14">
        <f t="shared" si="13"/>
        <v>41.666666666666671</v>
      </c>
    </row>
    <row r="395" spans="2:9" ht="13.2">
      <c r="B395" t="s">
        <v>458</v>
      </c>
      <c r="C395" s="9" t="s">
        <v>8</v>
      </c>
      <c r="D395" s="20">
        <v>2030</v>
      </c>
      <c r="E395" s="9" t="s">
        <v>47</v>
      </c>
      <c r="F395" s="9" t="s">
        <v>55</v>
      </c>
      <c r="G395" s="30" t="s">
        <v>297</v>
      </c>
      <c r="H395" s="14">
        <f t="shared" si="12"/>
        <v>41.666666666666671</v>
      </c>
      <c r="I395" s="14">
        <f t="shared" si="13"/>
        <v>41.666666666666671</v>
      </c>
    </row>
    <row r="396" spans="2:9" ht="13.2">
      <c r="B396" t="s">
        <v>458</v>
      </c>
      <c r="C396" s="9" t="s">
        <v>8</v>
      </c>
      <c r="D396" s="20">
        <v>2031</v>
      </c>
      <c r="E396" s="9" t="s">
        <v>47</v>
      </c>
      <c r="F396" s="9" t="s">
        <v>55</v>
      </c>
      <c r="G396" s="30" t="s">
        <v>297</v>
      </c>
      <c r="H396" s="14">
        <f t="shared" si="12"/>
        <v>41.666666666666671</v>
      </c>
      <c r="I396" s="14">
        <f t="shared" si="13"/>
        <v>41.666666666666671</v>
      </c>
    </row>
    <row r="397" spans="2:9" ht="13.2">
      <c r="B397" t="s">
        <v>458</v>
      </c>
      <c r="C397" s="9" t="s">
        <v>8</v>
      </c>
      <c r="D397" s="20">
        <v>2032</v>
      </c>
      <c r="E397" s="9" t="s">
        <v>47</v>
      </c>
      <c r="F397" s="9" t="s">
        <v>55</v>
      </c>
      <c r="G397" s="30" t="s">
        <v>297</v>
      </c>
      <c r="H397" s="14">
        <f t="shared" si="12"/>
        <v>41.666666666666671</v>
      </c>
      <c r="I397" s="14">
        <f t="shared" si="13"/>
        <v>41.666666666666671</v>
      </c>
    </row>
    <row r="398" spans="2:9" ht="13.2">
      <c r="B398" t="s">
        <v>458</v>
      </c>
      <c r="C398" s="9" t="s">
        <v>8</v>
      </c>
      <c r="D398" s="20">
        <v>2033</v>
      </c>
      <c r="E398" s="9" t="s">
        <v>47</v>
      </c>
      <c r="F398" s="9" t="s">
        <v>55</v>
      </c>
      <c r="G398" s="30" t="s">
        <v>297</v>
      </c>
      <c r="H398" s="14">
        <f t="shared" si="12"/>
        <v>41.666666666666671</v>
      </c>
      <c r="I398" s="14">
        <f t="shared" si="13"/>
        <v>41.666666666666671</v>
      </c>
    </row>
    <row r="399" spans="2:9" ht="13.2">
      <c r="B399" t="s">
        <v>458</v>
      </c>
      <c r="C399" s="9" t="s">
        <v>8</v>
      </c>
      <c r="D399" s="20">
        <v>2034</v>
      </c>
      <c r="E399" s="9" t="s">
        <v>47</v>
      </c>
      <c r="F399" s="9" t="s">
        <v>55</v>
      </c>
      <c r="G399" s="30" t="s">
        <v>297</v>
      </c>
      <c r="H399" s="14">
        <f t="shared" si="12"/>
        <v>41.666666666666671</v>
      </c>
      <c r="I399" s="14">
        <f t="shared" si="13"/>
        <v>41.666666666666671</v>
      </c>
    </row>
    <row r="400" spans="2:9" ht="13.2">
      <c r="B400" t="s">
        <v>458</v>
      </c>
      <c r="C400" s="9" t="s">
        <v>8</v>
      </c>
      <c r="D400" s="20">
        <v>2035</v>
      </c>
      <c r="E400" s="9" t="s">
        <v>47</v>
      </c>
      <c r="F400" s="9" t="s">
        <v>55</v>
      </c>
      <c r="G400" s="30" t="s">
        <v>297</v>
      </c>
      <c r="H400" s="14">
        <f t="shared" si="12"/>
        <v>41.666666666666671</v>
      </c>
      <c r="I400" s="14">
        <f t="shared" si="13"/>
        <v>41.666666666666671</v>
      </c>
    </row>
    <row r="401" spans="2:9" ht="13.2">
      <c r="B401" t="s">
        <v>458</v>
      </c>
      <c r="C401" s="9" t="s">
        <v>8</v>
      </c>
      <c r="D401" s="20">
        <v>2036</v>
      </c>
      <c r="E401" s="9" t="s">
        <v>47</v>
      </c>
      <c r="F401" s="9" t="s">
        <v>55</v>
      </c>
      <c r="G401" s="30" t="s">
        <v>297</v>
      </c>
      <c r="H401" s="14">
        <f t="shared" si="12"/>
        <v>41.666666666666671</v>
      </c>
      <c r="I401" s="14">
        <f t="shared" si="13"/>
        <v>41.666666666666671</v>
      </c>
    </row>
    <row r="402" spans="2:9" ht="13.2">
      <c r="B402" t="s">
        <v>458</v>
      </c>
      <c r="C402" s="9" t="s">
        <v>8</v>
      </c>
      <c r="D402" s="20">
        <v>2037</v>
      </c>
      <c r="E402" s="9" t="s">
        <v>47</v>
      </c>
      <c r="F402" s="9" t="s">
        <v>55</v>
      </c>
      <c r="G402" s="30" t="s">
        <v>297</v>
      </c>
      <c r="H402" s="14">
        <f t="shared" si="12"/>
        <v>41.666666666666671</v>
      </c>
      <c r="I402" s="14">
        <f t="shared" si="13"/>
        <v>41.666666666666671</v>
      </c>
    </row>
    <row r="403" spans="2:9" ht="13.2">
      <c r="B403" t="s">
        <v>458</v>
      </c>
      <c r="C403" s="9" t="s">
        <v>8</v>
      </c>
      <c r="D403" s="20">
        <v>2038</v>
      </c>
      <c r="E403" s="9" t="s">
        <v>47</v>
      </c>
      <c r="F403" s="9" t="s">
        <v>55</v>
      </c>
      <c r="G403" s="30" t="s">
        <v>297</v>
      </c>
      <c r="H403" s="14">
        <f t="shared" si="12"/>
        <v>41.666666666666671</v>
      </c>
      <c r="I403" s="14">
        <f t="shared" si="13"/>
        <v>41.666666666666671</v>
      </c>
    </row>
    <row r="404" spans="2:9" ht="13.2">
      <c r="B404" t="s">
        <v>458</v>
      </c>
      <c r="C404" s="9" t="s">
        <v>8</v>
      </c>
      <c r="D404" s="20">
        <v>2039</v>
      </c>
      <c r="E404" s="9" t="s">
        <v>47</v>
      </c>
      <c r="F404" s="9" t="s">
        <v>55</v>
      </c>
      <c r="G404" s="30" t="s">
        <v>297</v>
      </c>
      <c r="H404" s="14">
        <f t="shared" si="12"/>
        <v>41.666666666666671</v>
      </c>
      <c r="I404" s="14">
        <f t="shared" si="13"/>
        <v>41.666666666666671</v>
      </c>
    </row>
    <row r="405" spans="2:9" ht="13.2">
      <c r="B405" t="s">
        <v>458</v>
      </c>
      <c r="C405" s="9" t="s">
        <v>8</v>
      </c>
      <c r="D405" s="20">
        <v>2040</v>
      </c>
      <c r="E405" s="9" t="s">
        <v>47</v>
      </c>
      <c r="F405" s="9" t="s">
        <v>55</v>
      </c>
      <c r="G405" s="30" t="s">
        <v>297</v>
      </c>
      <c r="H405" s="14">
        <f t="shared" si="12"/>
        <v>41.666666666666671</v>
      </c>
      <c r="I405" s="14">
        <f t="shared" si="13"/>
        <v>41.666666666666671</v>
      </c>
    </row>
    <row r="406" spans="2:9" ht="13.2">
      <c r="B406" t="s">
        <v>458</v>
      </c>
      <c r="C406" s="9" t="s">
        <v>8</v>
      </c>
      <c r="D406" s="20">
        <v>2041</v>
      </c>
      <c r="E406" s="9" t="s">
        <v>47</v>
      </c>
      <c r="F406" s="9" t="s">
        <v>55</v>
      </c>
      <c r="G406" s="30" t="s">
        <v>297</v>
      </c>
      <c r="H406" s="14">
        <f t="shared" si="12"/>
        <v>41.666666666666671</v>
      </c>
      <c r="I406" s="14">
        <f t="shared" si="13"/>
        <v>41.666666666666671</v>
      </c>
    </row>
    <row r="407" spans="2:9" ht="13.2">
      <c r="B407" t="s">
        <v>458</v>
      </c>
      <c r="C407" s="9" t="s">
        <v>8</v>
      </c>
      <c r="D407" s="20">
        <v>2042</v>
      </c>
      <c r="E407" s="9" t="s">
        <v>47</v>
      </c>
      <c r="F407" s="9" t="s">
        <v>55</v>
      </c>
      <c r="G407" s="30" t="s">
        <v>297</v>
      </c>
      <c r="H407" s="14">
        <f t="shared" si="12"/>
        <v>41.666666666666671</v>
      </c>
      <c r="I407" s="14">
        <f t="shared" si="13"/>
        <v>41.666666666666671</v>
      </c>
    </row>
    <row r="408" spans="2:9" ht="13.2">
      <c r="B408" t="s">
        <v>458</v>
      </c>
      <c r="C408" s="9" t="s">
        <v>8</v>
      </c>
      <c r="D408" s="20">
        <v>2043</v>
      </c>
      <c r="E408" s="9" t="s">
        <v>47</v>
      </c>
      <c r="F408" s="9" t="s">
        <v>55</v>
      </c>
      <c r="G408" s="30" t="s">
        <v>297</v>
      </c>
      <c r="H408" s="14">
        <f t="shared" si="12"/>
        <v>41.666666666666671</v>
      </c>
      <c r="I408" s="14">
        <f t="shared" si="13"/>
        <v>41.666666666666671</v>
      </c>
    </row>
    <row r="409" spans="2:9" ht="13.2">
      <c r="B409" t="s">
        <v>458</v>
      </c>
      <c r="C409" s="9" t="s">
        <v>8</v>
      </c>
      <c r="D409" s="20">
        <v>2044</v>
      </c>
      <c r="E409" s="9" t="s">
        <v>47</v>
      </c>
      <c r="F409" s="9" t="s">
        <v>55</v>
      </c>
      <c r="G409" s="30" t="s">
        <v>297</v>
      </c>
      <c r="H409" s="14">
        <f t="shared" si="12"/>
        <v>41.666666666666671</v>
      </c>
      <c r="I409" s="14">
        <f t="shared" si="13"/>
        <v>41.666666666666671</v>
      </c>
    </row>
    <row r="410" spans="2:9" ht="13.2">
      <c r="B410" t="s">
        <v>458</v>
      </c>
      <c r="C410" s="9" t="s">
        <v>8</v>
      </c>
      <c r="D410" s="20">
        <v>2045</v>
      </c>
      <c r="E410" s="9" t="s">
        <v>47</v>
      </c>
      <c r="F410" s="9" t="s">
        <v>55</v>
      </c>
      <c r="G410" s="30" t="s">
        <v>297</v>
      </c>
      <c r="H410" s="14">
        <f t="shared" si="12"/>
        <v>41.666666666666671</v>
      </c>
      <c r="I410" s="14">
        <f t="shared" si="13"/>
        <v>41.666666666666671</v>
      </c>
    </row>
    <row r="411" spans="2:9" ht="13.2">
      <c r="B411" t="s">
        <v>458</v>
      </c>
      <c r="C411" s="9" t="s">
        <v>8</v>
      </c>
      <c r="D411" s="20">
        <v>2046</v>
      </c>
      <c r="E411" s="9" t="s">
        <v>47</v>
      </c>
      <c r="F411" s="9" t="s">
        <v>55</v>
      </c>
      <c r="G411" s="30" t="s">
        <v>297</v>
      </c>
      <c r="H411" s="14">
        <f t="shared" si="12"/>
        <v>41.666666666666671</v>
      </c>
      <c r="I411" s="14">
        <f t="shared" si="13"/>
        <v>41.666666666666671</v>
      </c>
    </row>
    <row r="412" spans="2:9" ht="13.2">
      <c r="B412" t="s">
        <v>458</v>
      </c>
      <c r="C412" s="9" t="s">
        <v>8</v>
      </c>
      <c r="D412" s="20">
        <v>2047</v>
      </c>
      <c r="E412" s="9" t="s">
        <v>47</v>
      </c>
      <c r="F412" s="9" t="s">
        <v>55</v>
      </c>
      <c r="G412" s="30" t="s">
        <v>297</v>
      </c>
      <c r="H412" s="14">
        <f t="shared" si="12"/>
        <v>41.666666666666671</v>
      </c>
      <c r="I412" s="14">
        <f t="shared" si="13"/>
        <v>41.666666666666671</v>
      </c>
    </row>
    <row r="413" spans="2:9" ht="13.2">
      <c r="B413" t="s">
        <v>458</v>
      </c>
      <c r="C413" s="9" t="s">
        <v>8</v>
      </c>
      <c r="D413" s="20">
        <v>2048</v>
      </c>
      <c r="E413" s="9" t="s">
        <v>47</v>
      </c>
      <c r="F413" s="9" t="s">
        <v>55</v>
      </c>
      <c r="G413" s="30" t="s">
        <v>297</v>
      </c>
      <c r="H413" s="14">
        <f t="shared" si="12"/>
        <v>41.666666666666671</v>
      </c>
      <c r="I413" s="14">
        <f t="shared" si="13"/>
        <v>41.666666666666671</v>
      </c>
    </row>
    <row r="414" spans="2:9" ht="13.2">
      <c r="B414" t="s">
        <v>458</v>
      </c>
      <c r="C414" s="9" t="s">
        <v>8</v>
      </c>
      <c r="D414" s="20">
        <v>2049</v>
      </c>
      <c r="E414" s="9" t="s">
        <v>47</v>
      </c>
      <c r="F414" s="9" t="s">
        <v>55</v>
      </c>
      <c r="G414" s="30" t="s">
        <v>297</v>
      </c>
      <c r="H414" s="14">
        <f t="shared" si="12"/>
        <v>41.666666666666671</v>
      </c>
      <c r="I414" s="14">
        <f t="shared" si="13"/>
        <v>41.666666666666671</v>
      </c>
    </row>
    <row r="415" spans="2:9" ht="13.2">
      <c r="B415" t="s">
        <v>458</v>
      </c>
      <c r="C415" s="7" t="s">
        <v>8</v>
      </c>
      <c r="D415" s="8">
        <v>2050</v>
      </c>
      <c r="E415" s="7" t="s">
        <v>47</v>
      </c>
      <c r="F415" s="7" t="s">
        <v>55</v>
      </c>
      <c r="G415" s="35" t="s">
        <v>297</v>
      </c>
      <c r="H415" s="21">
        <f t="shared" si="12"/>
        <v>41.666666666666671</v>
      </c>
      <c r="I415" s="14">
        <f t="shared" si="13"/>
        <v>41.666666666666671</v>
      </c>
    </row>
    <row r="416" spans="2:9" ht="13.2">
      <c r="B416" t="s">
        <v>458</v>
      </c>
      <c r="C416" t="s">
        <v>8</v>
      </c>
      <c r="D416" s="6">
        <v>2010</v>
      </c>
      <c r="E416" t="s">
        <v>47</v>
      </c>
      <c r="F416" s="9" t="s">
        <v>101</v>
      </c>
      <c r="G416" s="30" t="s">
        <v>297</v>
      </c>
      <c r="H416" s="14">
        <f t="shared" si="12"/>
        <v>59.549354404929765</v>
      </c>
      <c r="I416" s="14">
        <f t="shared" si="13"/>
        <v>59.549354404929765</v>
      </c>
    </row>
    <row r="417" spans="2:9" ht="13.2">
      <c r="B417" t="s">
        <v>458</v>
      </c>
      <c r="C417" s="9" t="s">
        <v>8</v>
      </c>
      <c r="D417" s="20">
        <v>2011</v>
      </c>
      <c r="E417" s="9" t="s">
        <v>47</v>
      </c>
      <c r="F417" s="9" t="s">
        <v>101</v>
      </c>
      <c r="G417" s="30" t="s">
        <v>297</v>
      </c>
      <c r="H417" s="14">
        <f t="shared" si="12"/>
        <v>59.175222335369995</v>
      </c>
      <c r="I417" s="14">
        <f t="shared" si="13"/>
        <v>59.175222335369995</v>
      </c>
    </row>
    <row r="418" spans="2:9" ht="13.2">
      <c r="B418" t="s">
        <v>458</v>
      </c>
      <c r="C418" s="9" t="s">
        <v>8</v>
      </c>
      <c r="D418" s="20">
        <v>2012</v>
      </c>
      <c r="E418" s="9" t="s">
        <v>47</v>
      </c>
      <c r="F418" s="9" t="s">
        <v>101</v>
      </c>
      <c r="G418" s="30" t="s">
        <v>297</v>
      </c>
      <c r="H418" s="14">
        <f t="shared" si="12"/>
        <v>59.080732947659094</v>
      </c>
      <c r="I418" s="14">
        <f t="shared" si="13"/>
        <v>59.080732947659094</v>
      </c>
    </row>
    <row r="419" spans="2:9" ht="13.2">
      <c r="B419" t="s">
        <v>458</v>
      </c>
      <c r="C419" s="9" t="s">
        <v>8</v>
      </c>
      <c r="D419" s="20">
        <v>2013</v>
      </c>
      <c r="E419" s="9" t="s">
        <v>47</v>
      </c>
      <c r="F419" s="9" t="s">
        <v>101</v>
      </c>
      <c r="G419" s="30" t="s">
        <v>297</v>
      </c>
      <c r="H419" s="14">
        <f t="shared" si="12"/>
        <v>64.668690278976968</v>
      </c>
      <c r="I419" s="14">
        <f t="shared" si="13"/>
        <v>64.668690278976968</v>
      </c>
    </row>
    <row r="420" spans="2:9" ht="13.2">
      <c r="B420" t="s">
        <v>458</v>
      </c>
      <c r="C420" s="9" t="s">
        <v>8</v>
      </c>
      <c r="D420" s="20">
        <v>2014</v>
      </c>
      <c r="E420" s="9" t="s">
        <v>47</v>
      </c>
      <c r="F420" s="9" t="s">
        <v>101</v>
      </c>
      <c r="G420" s="30" t="s">
        <v>297</v>
      </c>
      <c r="H420" s="14">
        <f t="shared" si="12"/>
        <v>70.264562118126264</v>
      </c>
      <c r="I420" s="14">
        <f t="shared" si="13"/>
        <v>70.264562118126264</v>
      </c>
    </row>
    <row r="421" spans="2:9" ht="13.2">
      <c r="B421" t="s">
        <v>458</v>
      </c>
      <c r="C421" s="9" t="s">
        <v>8</v>
      </c>
      <c r="D421" s="20">
        <v>2015</v>
      </c>
      <c r="E421" s="9" t="s">
        <v>47</v>
      </c>
      <c r="F421" s="9" t="s">
        <v>101</v>
      </c>
      <c r="G421" s="30" t="s">
        <v>297</v>
      </c>
      <c r="H421" s="14">
        <f t="shared" si="12"/>
        <v>54.9</v>
      </c>
      <c r="I421" s="14">
        <f t="shared" si="13"/>
        <v>54.9</v>
      </c>
    </row>
    <row r="422" spans="2:9" ht="13.2">
      <c r="B422" t="s">
        <v>458</v>
      </c>
      <c r="C422" s="9" t="s">
        <v>8</v>
      </c>
      <c r="D422" s="20">
        <v>2016</v>
      </c>
      <c r="E422" s="9" t="s">
        <v>47</v>
      </c>
      <c r="F422" s="9" t="s">
        <v>101</v>
      </c>
      <c r="G422" s="30" t="s">
        <v>297</v>
      </c>
      <c r="H422" s="14">
        <f t="shared" ref="H422:H485" si="14">HLOOKUP(F422,FuelTax2,D422-2006,FALSE)</f>
        <v>54.9</v>
      </c>
      <c r="I422" s="14">
        <f t="shared" ref="I422:I485" si="15">H422</f>
        <v>54.9</v>
      </c>
    </row>
    <row r="423" spans="2:9" ht="13.2">
      <c r="B423" t="s">
        <v>458</v>
      </c>
      <c r="C423" s="9" t="s">
        <v>8</v>
      </c>
      <c r="D423" s="20">
        <v>2017</v>
      </c>
      <c r="E423" s="9" t="s">
        <v>47</v>
      </c>
      <c r="F423" s="9" t="s">
        <v>101</v>
      </c>
      <c r="G423" s="30" t="s">
        <v>297</v>
      </c>
      <c r="H423" s="14">
        <f t="shared" si="14"/>
        <v>54.9</v>
      </c>
      <c r="I423" s="14">
        <f t="shared" si="15"/>
        <v>54.9</v>
      </c>
    </row>
    <row r="424" spans="2:9" ht="13.2">
      <c r="B424" t="s">
        <v>458</v>
      </c>
      <c r="C424" s="9" t="s">
        <v>8</v>
      </c>
      <c r="D424" s="20">
        <v>2018</v>
      </c>
      <c r="E424" s="9" t="s">
        <v>47</v>
      </c>
      <c r="F424" s="9" t="s">
        <v>101</v>
      </c>
      <c r="G424" s="30" t="s">
        <v>297</v>
      </c>
      <c r="H424" s="14">
        <f t="shared" si="14"/>
        <v>54.9</v>
      </c>
      <c r="I424" s="14">
        <f t="shared" si="15"/>
        <v>54.9</v>
      </c>
    </row>
    <row r="425" spans="2:9" ht="13.2">
      <c r="B425" t="s">
        <v>458</v>
      </c>
      <c r="C425" s="9" t="s">
        <v>8</v>
      </c>
      <c r="D425" s="20">
        <v>2019</v>
      </c>
      <c r="E425" s="9" t="s">
        <v>47</v>
      </c>
      <c r="F425" s="9" t="s">
        <v>101</v>
      </c>
      <c r="G425" s="30" t="s">
        <v>297</v>
      </c>
      <c r="H425" s="14">
        <f t="shared" si="14"/>
        <v>54.9</v>
      </c>
      <c r="I425" s="14">
        <f t="shared" si="15"/>
        <v>54.9</v>
      </c>
    </row>
    <row r="426" spans="2:9" ht="13.2">
      <c r="B426" t="s">
        <v>458</v>
      </c>
      <c r="C426" s="9" t="s">
        <v>8</v>
      </c>
      <c r="D426" s="20">
        <v>2020</v>
      </c>
      <c r="E426" s="9" t="s">
        <v>47</v>
      </c>
      <c r="F426" s="9" t="s">
        <v>101</v>
      </c>
      <c r="G426" s="30" t="s">
        <v>297</v>
      </c>
      <c r="H426" s="14">
        <f t="shared" si="14"/>
        <v>54.9</v>
      </c>
      <c r="I426" s="14">
        <f t="shared" si="15"/>
        <v>54.9</v>
      </c>
    </row>
    <row r="427" spans="2:9" ht="13.2">
      <c r="B427" t="s">
        <v>458</v>
      </c>
      <c r="C427" s="9" t="s">
        <v>8</v>
      </c>
      <c r="D427" s="20">
        <v>2021</v>
      </c>
      <c r="E427" s="9" t="s">
        <v>47</v>
      </c>
      <c r="F427" s="9" t="s">
        <v>101</v>
      </c>
      <c r="G427" s="30" t="s">
        <v>297</v>
      </c>
      <c r="H427" s="14">
        <f t="shared" si="14"/>
        <v>54.9</v>
      </c>
      <c r="I427" s="14">
        <f t="shared" si="15"/>
        <v>54.9</v>
      </c>
    </row>
    <row r="428" spans="2:9" ht="13.2">
      <c r="B428" t="s">
        <v>458</v>
      </c>
      <c r="C428" s="9" t="s">
        <v>8</v>
      </c>
      <c r="D428" s="20">
        <v>2022</v>
      </c>
      <c r="E428" s="9" t="s">
        <v>47</v>
      </c>
      <c r="F428" s="9" t="s">
        <v>101</v>
      </c>
      <c r="G428" s="30" t="s">
        <v>297</v>
      </c>
      <c r="H428" s="14">
        <f t="shared" si="14"/>
        <v>54.9</v>
      </c>
      <c r="I428" s="14">
        <f t="shared" si="15"/>
        <v>54.9</v>
      </c>
    </row>
    <row r="429" spans="2:9" ht="13.2">
      <c r="B429" t="s">
        <v>458</v>
      </c>
      <c r="C429" s="9" t="s">
        <v>8</v>
      </c>
      <c r="D429" s="20">
        <v>2023</v>
      </c>
      <c r="E429" s="9" t="s">
        <v>47</v>
      </c>
      <c r="F429" s="9" t="s">
        <v>101</v>
      </c>
      <c r="G429" s="30" t="s">
        <v>297</v>
      </c>
      <c r="H429" s="14">
        <f t="shared" si="14"/>
        <v>54.9</v>
      </c>
      <c r="I429" s="14">
        <f t="shared" si="15"/>
        <v>54.9</v>
      </c>
    </row>
    <row r="430" spans="2:9" ht="13.2">
      <c r="B430" t="s">
        <v>458</v>
      </c>
      <c r="C430" s="9" t="s">
        <v>8</v>
      </c>
      <c r="D430" s="20">
        <v>2024</v>
      </c>
      <c r="E430" s="9" t="s">
        <v>47</v>
      </c>
      <c r="F430" s="9" t="s">
        <v>101</v>
      </c>
      <c r="G430" s="30" t="s">
        <v>297</v>
      </c>
      <c r="H430" s="14">
        <f t="shared" si="14"/>
        <v>54.9</v>
      </c>
      <c r="I430" s="14">
        <f t="shared" si="15"/>
        <v>54.9</v>
      </c>
    </row>
    <row r="431" spans="2:9" ht="13.2">
      <c r="B431" t="s">
        <v>458</v>
      </c>
      <c r="C431" s="9" t="s">
        <v>8</v>
      </c>
      <c r="D431" s="20">
        <v>2025</v>
      </c>
      <c r="E431" s="9" t="s">
        <v>47</v>
      </c>
      <c r="F431" s="9" t="s">
        <v>101</v>
      </c>
      <c r="G431" s="30" t="s">
        <v>297</v>
      </c>
      <c r="H431" s="14">
        <f t="shared" si="14"/>
        <v>54.9</v>
      </c>
      <c r="I431" s="14">
        <f t="shared" si="15"/>
        <v>54.9</v>
      </c>
    </row>
    <row r="432" spans="2:9" ht="13.2">
      <c r="B432" t="s">
        <v>458</v>
      </c>
      <c r="C432" s="9" t="s">
        <v>8</v>
      </c>
      <c r="D432" s="20">
        <v>2026</v>
      </c>
      <c r="E432" s="9" t="s">
        <v>47</v>
      </c>
      <c r="F432" s="9" t="s">
        <v>101</v>
      </c>
      <c r="G432" s="30" t="s">
        <v>297</v>
      </c>
      <c r="H432" s="14">
        <f t="shared" si="14"/>
        <v>54.9</v>
      </c>
      <c r="I432" s="14">
        <f t="shared" si="15"/>
        <v>54.9</v>
      </c>
    </row>
    <row r="433" spans="2:9" ht="13.2">
      <c r="B433" t="s">
        <v>458</v>
      </c>
      <c r="C433" s="9" t="s">
        <v>8</v>
      </c>
      <c r="D433" s="20">
        <v>2027</v>
      </c>
      <c r="E433" s="9" t="s">
        <v>47</v>
      </c>
      <c r="F433" s="9" t="s">
        <v>101</v>
      </c>
      <c r="G433" s="30" t="s">
        <v>297</v>
      </c>
      <c r="H433" s="14">
        <f t="shared" si="14"/>
        <v>54.9</v>
      </c>
      <c r="I433" s="14">
        <f t="shared" si="15"/>
        <v>54.9</v>
      </c>
    </row>
    <row r="434" spans="2:9" ht="13.2">
      <c r="B434" t="s">
        <v>458</v>
      </c>
      <c r="C434" s="9" t="s">
        <v>8</v>
      </c>
      <c r="D434" s="20">
        <v>2028</v>
      </c>
      <c r="E434" s="9" t="s">
        <v>47</v>
      </c>
      <c r="F434" s="9" t="s">
        <v>101</v>
      </c>
      <c r="G434" s="30" t="s">
        <v>297</v>
      </c>
      <c r="H434" s="14">
        <f t="shared" si="14"/>
        <v>54.9</v>
      </c>
      <c r="I434" s="14">
        <f t="shared" si="15"/>
        <v>54.9</v>
      </c>
    </row>
    <row r="435" spans="2:9" ht="13.2">
      <c r="B435" t="s">
        <v>458</v>
      </c>
      <c r="C435" s="9" t="s">
        <v>8</v>
      </c>
      <c r="D435" s="20">
        <v>2029</v>
      </c>
      <c r="E435" s="9" t="s">
        <v>47</v>
      </c>
      <c r="F435" s="9" t="s">
        <v>101</v>
      </c>
      <c r="G435" s="30" t="s">
        <v>297</v>
      </c>
      <c r="H435" s="14">
        <f t="shared" si="14"/>
        <v>54.9</v>
      </c>
      <c r="I435" s="14">
        <f t="shared" si="15"/>
        <v>54.9</v>
      </c>
    </row>
    <row r="436" spans="2:9" ht="13.2">
      <c r="B436" t="s">
        <v>458</v>
      </c>
      <c r="C436" s="9" t="s">
        <v>8</v>
      </c>
      <c r="D436" s="20">
        <v>2030</v>
      </c>
      <c r="E436" s="9" t="s">
        <v>47</v>
      </c>
      <c r="F436" s="9" t="s">
        <v>101</v>
      </c>
      <c r="G436" s="30" t="s">
        <v>297</v>
      </c>
      <c r="H436" s="14">
        <f t="shared" si="14"/>
        <v>54.9</v>
      </c>
      <c r="I436" s="14">
        <f t="shared" si="15"/>
        <v>54.9</v>
      </c>
    </row>
    <row r="437" spans="2:9" ht="13.2">
      <c r="B437" t="s">
        <v>458</v>
      </c>
      <c r="C437" s="9" t="s">
        <v>8</v>
      </c>
      <c r="D437" s="20">
        <v>2031</v>
      </c>
      <c r="E437" s="9" t="s">
        <v>47</v>
      </c>
      <c r="F437" s="9" t="s">
        <v>101</v>
      </c>
      <c r="G437" s="30" t="s">
        <v>297</v>
      </c>
      <c r="H437" s="14">
        <f t="shared" si="14"/>
        <v>54.9</v>
      </c>
      <c r="I437" s="14">
        <f t="shared" si="15"/>
        <v>54.9</v>
      </c>
    </row>
    <row r="438" spans="2:9" ht="13.2">
      <c r="B438" t="s">
        <v>458</v>
      </c>
      <c r="C438" s="9" t="s">
        <v>8</v>
      </c>
      <c r="D438" s="20">
        <v>2032</v>
      </c>
      <c r="E438" s="9" t="s">
        <v>47</v>
      </c>
      <c r="F438" s="9" t="s">
        <v>101</v>
      </c>
      <c r="G438" s="30" t="s">
        <v>297</v>
      </c>
      <c r="H438" s="14">
        <f t="shared" si="14"/>
        <v>54.9</v>
      </c>
      <c r="I438" s="14">
        <f t="shared" si="15"/>
        <v>54.9</v>
      </c>
    </row>
    <row r="439" spans="2:9" ht="13.2">
      <c r="B439" t="s">
        <v>458</v>
      </c>
      <c r="C439" s="9" t="s">
        <v>8</v>
      </c>
      <c r="D439" s="20">
        <v>2033</v>
      </c>
      <c r="E439" s="9" t="s">
        <v>47</v>
      </c>
      <c r="F439" s="9" t="s">
        <v>101</v>
      </c>
      <c r="G439" s="30" t="s">
        <v>297</v>
      </c>
      <c r="H439" s="14">
        <f t="shared" si="14"/>
        <v>54.9</v>
      </c>
      <c r="I439" s="14">
        <f t="shared" si="15"/>
        <v>54.9</v>
      </c>
    </row>
    <row r="440" spans="2:9" ht="13.2">
      <c r="B440" t="s">
        <v>458</v>
      </c>
      <c r="C440" s="9" t="s">
        <v>8</v>
      </c>
      <c r="D440" s="20">
        <v>2034</v>
      </c>
      <c r="E440" s="9" t="s">
        <v>47</v>
      </c>
      <c r="F440" s="9" t="s">
        <v>101</v>
      </c>
      <c r="G440" s="30" t="s">
        <v>297</v>
      </c>
      <c r="H440" s="14">
        <f t="shared" si="14"/>
        <v>54.9</v>
      </c>
      <c r="I440" s="14">
        <f t="shared" si="15"/>
        <v>54.9</v>
      </c>
    </row>
    <row r="441" spans="2:9" ht="13.2">
      <c r="B441" t="s">
        <v>458</v>
      </c>
      <c r="C441" s="9" t="s">
        <v>8</v>
      </c>
      <c r="D441" s="20">
        <v>2035</v>
      </c>
      <c r="E441" s="9" t="s">
        <v>47</v>
      </c>
      <c r="F441" s="9" t="s">
        <v>101</v>
      </c>
      <c r="G441" s="30" t="s">
        <v>297</v>
      </c>
      <c r="H441" s="14">
        <f t="shared" si="14"/>
        <v>54.9</v>
      </c>
      <c r="I441" s="14">
        <f t="shared" si="15"/>
        <v>54.9</v>
      </c>
    </row>
    <row r="442" spans="2:9" ht="13.2">
      <c r="B442" t="s">
        <v>458</v>
      </c>
      <c r="C442" s="9" t="s">
        <v>8</v>
      </c>
      <c r="D442" s="20">
        <v>2036</v>
      </c>
      <c r="E442" s="9" t="s">
        <v>47</v>
      </c>
      <c r="F442" s="9" t="s">
        <v>101</v>
      </c>
      <c r="G442" s="30" t="s">
        <v>297</v>
      </c>
      <c r="H442" s="14">
        <f t="shared" si="14"/>
        <v>54.9</v>
      </c>
      <c r="I442" s="14">
        <f t="shared" si="15"/>
        <v>54.9</v>
      </c>
    </row>
    <row r="443" spans="2:9" ht="13.2">
      <c r="B443" t="s">
        <v>458</v>
      </c>
      <c r="C443" s="9" t="s">
        <v>8</v>
      </c>
      <c r="D443" s="20">
        <v>2037</v>
      </c>
      <c r="E443" s="9" t="s">
        <v>47</v>
      </c>
      <c r="F443" s="9" t="s">
        <v>101</v>
      </c>
      <c r="G443" s="30" t="s">
        <v>297</v>
      </c>
      <c r="H443" s="14">
        <f t="shared" si="14"/>
        <v>54.9</v>
      </c>
      <c r="I443" s="14">
        <f t="shared" si="15"/>
        <v>54.9</v>
      </c>
    </row>
    <row r="444" spans="2:9" ht="13.2">
      <c r="B444" t="s">
        <v>458</v>
      </c>
      <c r="C444" s="9" t="s">
        <v>8</v>
      </c>
      <c r="D444" s="20">
        <v>2038</v>
      </c>
      <c r="E444" s="9" t="s">
        <v>47</v>
      </c>
      <c r="F444" s="9" t="s">
        <v>101</v>
      </c>
      <c r="G444" s="30" t="s">
        <v>297</v>
      </c>
      <c r="H444" s="14">
        <f t="shared" si="14"/>
        <v>54.9</v>
      </c>
      <c r="I444" s="14">
        <f t="shared" si="15"/>
        <v>54.9</v>
      </c>
    </row>
    <row r="445" spans="2:9" ht="13.2">
      <c r="B445" t="s">
        <v>458</v>
      </c>
      <c r="C445" s="9" t="s">
        <v>8</v>
      </c>
      <c r="D445" s="20">
        <v>2039</v>
      </c>
      <c r="E445" s="9" t="s">
        <v>47</v>
      </c>
      <c r="F445" s="9" t="s">
        <v>101</v>
      </c>
      <c r="G445" s="30" t="s">
        <v>297</v>
      </c>
      <c r="H445" s="14">
        <f t="shared" si="14"/>
        <v>54.9</v>
      </c>
      <c r="I445" s="14">
        <f t="shared" si="15"/>
        <v>54.9</v>
      </c>
    </row>
    <row r="446" spans="2:9" ht="13.2">
      <c r="B446" t="s">
        <v>458</v>
      </c>
      <c r="C446" s="9" t="s">
        <v>8</v>
      </c>
      <c r="D446" s="20">
        <v>2040</v>
      </c>
      <c r="E446" s="9" t="s">
        <v>47</v>
      </c>
      <c r="F446" s="9" t="s">
        <v>101</v>
      </c>
      <c r="G446" s="30" t="s">
        <v>297</v>
      </c>
      <c r="H446" s="14">
        <f t="shared" si="14"/>
        <v>54.9</v>
      </c>
      <c r="I446" s="14">
        <f t="shared" si="15"/>
        <v>54.9</v>
      </c>
    </row>
    <row r="447" spans="2:9" ht="13.2">
      <c r="B447" t="s">
        <v>458</v>
      </c>
      <c r="C447" s="9" t="s">
        <v>8</v>
      </c>
      <c r="D447" s="20">
        <v>2041</v>
      </c>
      <c r="E447" s="9" t="s">
        <v>47</v>
      </c>
      <c r="F447" s="9" t="s">
        <v>101</v>
      </c>
      <c r="G447" s="30" t="s">
        <v>297</v>
      </c>
      <c r="H447" s="14">
        <f t="shared" si="14"/>
        <v>54.9</v>
      </c>
      <c r="I447" s="14">
        <f t="shared" si="15"/>
        <v>54.9</v>
      </c>
    </row>
    <row r="448" spans="2:9" ht="13.2">
      <c r="B448" t="s">
        <v>458</v>
      </c>
      <c r="C448" s="9" t="s">
        <v>8</v>
      </c>
      <c r="D448" s="20">
        <v>2042</v>
      </c>
      <c r="E448" s="9" t="s">
        <v>47</v>
      </c>
      <c r="F448" s="9" t="s">
        <v>101</v>
      </c>
      <c r="G448" s="30" t="s">
        <v>297</v>
      </c>
      <c r="H448" s="14">
        <f t="shared" si="14"/>
        <v>54.9</v>
      </c>
      <c r="I448" s="14">
        <f t="shared" si="15"/>
        <v>54.9</v>
      </c>
    </row>
    <row r="449" spans="2:9" ht="13.2">
      <c r="B449" t="s">
        <v>458</v>
      </c>
      <c r="C449" s="9" t="s">
        <v>8</v>
      </c>
      <c r="D449" s="20">
        <v>2043</v>
      </c>
      <c r="E449" s="9" t="s">
        <v>47</v>
      </c>
      <c r="F449" s="9" t="s">
        <v>101</v>
      </c>
      <c r="G449" s="30" t="s">
        <v>297</v>
      </c>
      <c r="H449" s="14">
        <f t="shared" si="14"/>
        <v>54.9</v>
      </c>
      <c r="I449" s="14">
        <f t="shared" si="15"/>
        <v>54.9</v>
      </c>
    </row>
    <row r="450" spans="2:9" ht="13.2">
      <c r="B450" t="s">
        <v>458</v>
      </c>
      <c r="C450" s="9" t="s">
        <v>8</v>
      </c>
      <c r="D450" s="20">
        <v>2044</v>
      </c>
      <c r="E450" s="9" t="s">
        <v>47</v>
      </c>
      <c r="F450" s="9" t="s">
        <v>101</v>
      </c>
      <c r="G450" s="30" t="s">
        <v>297</v>
      </c>
      <c r="H450" s="14">
        <f t="shared" si="14"/>
        <v>54.9</v>
      </c>
      <c r="I450" s="14">
        <f t="shared" si="15"/>
        <v>54.9</v>
      </c>
    </row>
    <row r="451" spans="2:9" ht="13.2">
      <c r="B451" t="s">
        <v>458</v>
      </c>
      <c r="C451" s="9" t="s">
        <v>8</v>
      </c>
      <c r="D451" s="20">
        <v>2045</v>
      </c>
      <c r="E451" s="9" t="s">
        <v>47</v>
      </c>
      <c r="F451" s="9" t="s">
        <v>101</v>
      </c>
      <c r="G451" s="30" t="s">
        <v>297</v>
      </c>
      <c r="H451" s="14">
        <f t="shared" si="14"/>
        <v>54.9</v>
      </c>
      <c r="I451" s="14">
        <f t="shared" si="15"/>
        <v>54.9</v>
      </c>
    </row>
    <row r="452" spans="2:9" ht="13.2">
      <c r="B452" t="s">
        <v>458</v>
      </c>
      <c r="C452" s="9" t="s">
        <v>8</v>
      </c>
      <c r="D452" s="20">
        <v>2046</v>
      </c>
      <c r="E452" s="9" t="s">
        <v>47</v>
      </c>
      <c r="F452" s="9" t="s">
        <v>101</v>
      </c>
      <c r="G452" s="30" t="s">
        <v>297</v>
      </c>
      <c r="H452" s="14">
        <f t="shared" si="14"/>
        <v>54.9</v>
      </c>
      <c r="I452" s="14">
        <f t="shared" si="15"/>
        <v>54.9</v>
      </c>
    </row>
    <row r="453" spans="2:9" ht="13.2">
      <c r="B453" t="s">
        <v>458</v>
      </c>
      <c r="C453" s="9" t="s">
        <v>8</v>
      </c>
      <c r="D453" s="20">
        <v>2047</v>
      </c>
      <c r="E453" s="9" t="s">
        <v>47</v>
      </c>
      <c r="F453" s="9" t="s">
        <v>101</v>
      </c>
      <c r="G453" s="30" t="s">
        <v>297</v>
      </c>
      <c r="H453" s="14">
        <f t="shared" si="14"/>
        <v>54.9</v>
      </c>
      <c r="I453" s="14">
        <f t="shared" si="15"/>
        <v>54.9</v>
      </c>
    </row>
    <row r="454" spans="2:9" ht="13.2">
      <c r="B454" t="s">
        <v>458</v>
      </c>
      <c r="C454" s="9" t="s">
        <v>8</v>
      </c>
      <c r="D454" s="20">
        <v>2048</v>
      </c>
      <c r="E454" s="9" t="s">
        <v>47</v>
      </c>
      <c r="F454" s="9" t="s">
        <v>101</v>
      </c>
      <c r="G454" s="30" t="s">
        <v>297</v>
      </c>
      <c r="H454" s="14">
        <f t="shared" si="14"/>
        <v>54.9</v>
      </c>
      <c r="I454" s="14">
        <f t="shared" si="15"/>
        <v>54.9</v>
      </c>
    </row>
    <row r="455" spans="2:9" ht="13.2">
      <c r="B455" t="s">
        <v>458</v>
      </c>
      <c r="C455" s="9" t="s">
        <v>8</v>
      </c>
      <c r="D455" s="20">
        <v>2049</v>
      </c>
      <c r="E455" s="9" t="s">
        <v>47</v>
      </c>
      <c r="F455" s="9" t="s">
        <v>101</v>
      </c>
      <c r="G455" s="30" t="s">
        <v>297</v>
      </c>
      <c r="H455" s="14">
        <f t="shared" si="14"/>
        <v>54.9</v>
      </c>
      <c r="I455" s="14">
        <f t="shared" si="15"/>
        <v>54.9</v>
      </c>
    </row>
    <row r="456" spans="2:9" ht="13.2">
      <c r="B456" t="s">
        <v>458</v>
      </c>
      <c r="C456" s="9" t="s">
        <v>8</v>
      </c>
      <c r="D456" s="20">
        <v>2050</v>
      </c>
      <c r="E456" s="9" t="s">
        <v>47</v>
      </c>
      <c r="F456" s="9" t="s">
        <v>101</v>
      </c>
      <c r="G456" s="30" t="s">
        <v>297</v>
      </c>
      <c r="H456" s="14">
        <f t="shared" si="14"/>
        <v>54.9</v>
      </c>
      <c r="I456" s="14">
        <f t="shared" si="15"/>
        <v>54.9</v>
      </c>
    </row>
    <row r="457" spans="2:9" ht="13.2">
      <c r="B457" t="s">
        <v>458</v>
      </c>
      <c r="C457" t="s">
        <v>8</v>
      </c>
      <c r="D457" s="6">
        <v>2010</v>
      </c>
      <c r="E457" t="s">
        <v>47</v>
      </c>
      <c r="F457" s="9" t="s">
        <v>132</v>
      </c>
      <c r="G457" s="30" t="s">
        <v>297</v>
      </c>
      <c r="H457" s="14">
        <f t="shared" si="14"/>
        <v>0</v>
      </c>
      <c r="I457" s="14">
        <f t="shared" si="15"/>
        <v>0</v>
      </c>
    </row>
    <row r="458" spans="2:9" ht="13.2">
      <c r="B458" t="s">
        <v>458</v>
      </c>
      <c r="C458" s="9" t="s">
        <v>8</v>
      </c>
      <c r="D458" s="20">
        <v>2011</v>
      </c>
      <c r="E458" s="9" t="s">
        <v>47</v>
      </c>
      <c r="F458" s="9" t="s">
        <v>132</v>
      </c>
      <c r="G458" s="30" t="s">
        <v>297</v>
      </c>
      <c r="H458" s="14">
        <f t="shared" si="14"/>
        <v>0</v>
      </c>
      <c r="I458" s="14">
        <f t="shared" si="15"/>
        <v>0</v>
      </c>
    </row>
    <row r="459" spans="2:9" ht="13.2">
      <c r="B459" t="s">
        <v>458</v>
      </c>
      <c r="C459" s="9" t="s">
        <v>8</v>
      </c>
      <c r="D459" s="20">
        <v>2012</v>
      </c>
      <c r="E459" s="9" t="s">
        <v>47</v>
      </c>
      <c r="F459" s="9" t="s">
        <v>132</v>
      </c>
      <c r="G459" s="30" t="s">
        <v>297</v>
      </c>
      <c r="H459" s="14">
        <f t="shared" si="14"/>
        <v>0</v>
      </c>
      <c r="I459" s="14">
        <f t="shared" si="15"/>
        <v>0</v>
      </c>
    </row>
    <row r="460" spans="2:9" ht="13.2">
      <c r="B460" t="s">
        <v>458</v>
      </c>
      <c r="C460" s="9" t="s">
        <v>8</v>
      </c>
      <c r="D460" s="20">
        <v>2013</v>
      </c>
      <c r="E460" s="9" t="s">
        <v>47</v>
      </c>
      <c r="F460" s="9" t="s">
        <v>132</v>
      </c>
      <c r="G460" s="30" t="s">
        <v>297</v>
      </c>
      <c r="H460" s="14">
        <f t="shared" si="14"/>
        <v>0</v>
      </c>
      <c r="I460" s="14">
        <f t="shared" si="15"/>
        <v>0</v>
      </c>
    </row>
    <row r="461" spans="2:9" ht="13.2">
      <c r="B461" t="s">
        <v>458</v>
      </c>
      <c r="C461" s="9" t="s">
        <v>8</v>
      </c>
      <c r="D461" s="20">
        <v>2014</v>
      </c>
      <c r="E461" s="9" t="s">
        <v>47</v>
      </c>
      <c r="F461" s="9" t="s">
        <v>132</v>
      </c>
      <c r="G461" s="30" t="s">
        <v>297</v>
      </c>
      <c r="H461" s="14">
        <f t="shared" si="14"/>
        <v>0</v>
      </c>
      <c r="I461" s="14">
        <f t="shared" si="15"/>
        <v>0</v>
      </c>
    </row>
    <row r="462" spans="2:9" ht="13.2">
      <c r="B462" t="s">
        <v>458</v>
      </c>
      <c r="C462" s="9" t="s">
        <v>8</v>
      </c>
      <c r="D462" s="20">
        <v>2015</v>
      </c>
      <c r="E462" s="9" t="s">
        <v>47</v>
      </c>
      <c r="F462" s="9" t="s">
        <v>132</v>
      </c>
      <c r="G462" s="30" t="s">
        <v>297</v>
      </c>
      <c r="H462" s="14">
        <f t="shared" si="14"/>
        <v>0</v>
      </c>
      <c r="I462" s="14">
        <f t="shared" si="15"/>
        <v>0</v>
      </c>
    </row>
    <row r="463" spans="2:9" ht="13.2">
      <c r="B463" t="s">
        <v>458</v>
      </c>
      <c r="C463" s="9" t="s">
        <v>8</v>
      </c>
      <c r="D463" s="20">
        <v>2016</v>
      </c>
      <c r="E463" s="9" t="s">
        <v>47</v>
      </c>
      <c r="F463" s="9" t="s">
        <v>132</v>
      </c>
      <c r="G463" s="30" t="s">
        <v>297</v>
      </c>
      <c r="H463" s="14">
        <f t="shared" si="14"/>
        <v>0</v>
      </c>
      <c r="I463" s="14">
        <f t="shared" si="15"/>
        <v>0</v>
      </c>
    </row>
    <row r="464" spans="2:9" ht="13.2">
      <c r="B464" t="s">
        <v>458</v>
      </c>
      <c r="C464" s="9" t="s">
        <v>8</v>
      </c>
      <c r="D464" s="20">
        <v>2017</v>
      </c>
      <c r="E464" s="9" t="s">
        <v>47</v>
      </c>
      <c r="F464" s="9" t="s">
        <v>132</v>
      </c>
      <c r="G464" s="30" t="s">
        <v>297</v>
      </c>
      <c r="H464" s="14">
        <f t="shared" si="14"/>
        <v>0</v>
      </c>
      <c r="I464" s="14">
        <f t="shared" si="15"/>
        <v>0</v>
      </c>
    </row>
    <row r="465" spans="2:9" ht="13.2">
      <c r="B465" t="s">
        <v>458</v>
      </c>
      <c r="C465" s="9" t="s">
        <v>8</v>
      </c>
      <c r="D465" s="20">
        <v>2018</v>
      </c>
      <c r="E465" s="9" t="s">
        <v>47</v>
      </c>
      <c r="F465" s="9" t="s">
        <v>132</v>
      </c>
      <c r="G465" s="30" t="s">
        <v>297</v>
      </c>
      <c r="H465" s="14">
        <f t="shared" si="14"/>
        <v>0</v>
      </c>
      <c r="I465" s="14">
        <f t="shared" si="15"/>
        <v>0</v>
      </c>
    </row>
    <row r="466" spans="2:9" ht="13.2">
      <c r="B466" t="s">
        <v>458</v>
      </c>
      <c r="C466" s="9" t="s">
        <v>8</v>
      </c>
      <c r="D466" s="20">
        <v>2019</v>
      </c>
      <c r="E466" s="9" t="s">
        <v>47</v>
      </c>
      <c r="F466" s="9" t="s">
        <v>132</v>
      </c>
      <c r="G466" s="30" t="s">
        <v>297</v>
      </c>
      <c r="H466" s="14">
        <f t="shared" si="14"/>
        <v>0</v>
      </c>
      <c r="I466" s="14">
        <f t="shared" si="15"/>
        <v>0</v>
      </c>
    </row>
    <row r="467" spans="2:9" ht="13.2">
      <c r="B467" t="s">
        <v>458</v>
      </c>
      <c r="C467" s="9" t="s">
        <v>8</v>
      </c>
      <c r="D467" s="20">
        <v>2020</v>
      </c>
      <c r="E467" s="9" t="s">
        <v>47</v>
      </c>
      <c r="F467" s="9" t="s">
        <v>132</v>
      </c>
      <c r="G467" s="30" t="s">
        <v>297</v>
      </c>
      <c r="H467" s="14">
        <f t="shared" si="14"/>
        <v>0</v>
      </c>
      <c r="I467" s="14">
        <f t="shared" si="15"/>
        <v>0</v>
      </c>
    </row>
    <row r="468" spans="2:9" ht="13.2">
      <c r="B468" t="s">
        <v>458</v>
      </c>
      <c r="C468" s="9" t="s">
        <v>8</v>
      </c>
      <c r="D468" s="20">
        <v>2021</v>
      </c>
      <c r="E468" s="9" t="s">
        <v>47</v>
      </c>
      <c r="F468" s="9" t="s">
        <v>132</v>
      </c>
      <c r="G468" s="30" t="s">
        <v>297</v>
      </c>
      <c r="H468" s="14">
        <f t="shared" si="14"/>
        <v>0</v>
      </c>
      <c r="I468" s="14">
        <f t="shared" si="15"/>
        <v>0</v>
      </c>
    </row>
    <row r="469" spans="2:9" ht="13.2">
      <c r="B469" t="s">
        <v>458</v>
      </c>
      <c r="C469" s="9" t="s">
        <v>8</v>
      </c>
      <c r="D469" s="20">
        <v>2022</v>
      </c>
      <c r="E469" s="9" t="s">
        <v>47</v>
      </c>
      <c r="F469" s="9" t="s">
        <v>132</v>
      </c>
      <c r="G469" s="30" t="s">
        <v>297</v>
      </c>
      <c r="H469" s="14">
        <f t="shared" si="14"/>
        <v>0</v>
      </c>
      <c r="I469" s="14">
        <f t="shared" si="15"/>
        <v>0</v>
      </c>
    </row>
    <row r="470" spans="2:9" ht="13.2">
      <c r="B470" t="s">
        <v>458</v>
      </c>
      <c r="C470" s="9" t="s">
        <v>8</v>
      </c>
      <c r="D470" s="20">
        <v>2023</v>
      </c>
      <c r="E470" s="9" t="s">
        <v>47</v>
      </c>
      <c r="F470" s="9" t="s">
        <v>132</v>
      </c>
      <c r="G470" s="30" t="s">
        <v>297</v>
      </c>
      <c r="H470" s="14">
        <f t="shared" si="14"/>
        <v>0</v>
      </c>
      <c r="I470" s="14">
        <f t="shared" si="15"/>
        <v>0</v>
      </c>
    </row>
    <row r="471" spans="2:9" ht="13.2">
      <c r="B471" t="s">
        <v>458</v>
      </c>
      <c r="C471" s="9" t="s">
        <v>8</v>
      </c>
      <c r="D471" s="20">
        <v>2024</v>
      </c>
      <c r="E471" s="9" t="s">
        <v>47</v>
      </c>
      <c r="F471" s="9" t="s">
        <v>132</v>
      </c>
      <c r="G471" s="30" t="s">
        <v>297</v>
      </c>
      <c r="H471" s="14">
        <f t="shared" si="14"/>
        <v>0</v>
      </c>
      <c r="I471" s="14">
        <f t="shared" si="15"/>
        <v>0</v>
      </c>
    </row>
    <row r="472" spans="2:9" ht="13.2">
      <c r="B472" t="s">
        <v>458</v>
      </c>
      <c r="C472" s="9" t="s">
        <v>8</v>
      </c>
      <c r="D472" s="20">
        <v>2025</v>
      </c>
      <c r="E472" s="9" t="s">
        <v>47</v>
      </c>
      <c r="F472" s="9" t="s">
        <v>132</v>
      </c>
      <c r="G472" s="30" t="s">
        <v>297</v>
      </c>
      <c r="H472" s="14">
        <f t="shared" si="14"/>
        <v>0</v>
      </c>
      <c r="I472" s="14">
        <f t="shared" si="15"/>
        <v>0</v>
      </c>
    </row>
    <row r="473" spans="2:9" ht="13.2">
      <c r="B473" t="s">
        <v>458</v>
      </c>
      <c r="C473" s="9" t="s">
        <v>8</v>
      </c>
      <c r="D473" s="20">
        <v>2026</v>
      </c>
      <c r="E473" s="9" t="s">
        <v>47</v>
      </c>
      <c r="F473" s="9" t="s">
        <v>132</v>
      </c>
      <c r="G473" s="30" t="s">
        <v>297</v>
      </c>
      <c r="H473" s="14">
        <f t="shared" si="14"/>
        <v>0</v>
      </c>
      <c r="I473" s="14">
        <f t="shared" si="15"/>
        <v>0</v>
      </c>
    </row>
    <row r="474" spans="2:9" ht="13.2">
      <c r="B474" t="s">
        <v>458</v>
      </c>
      <c r="C474" s="9" t="s">
        <v>8</v>
      </c>
      <c r="D474" s="20">
        <v>2027</v>
      </c>
      <c r="E474" s="9" t="s">
        <v>47</v>
      </c>
      <c r="F474" s="9" t="s">
        <v>132</v>
      </c>
      <c r="G474" s="30" t="s">
        <v>297</v>
      </c>
      <c r="H474" s="14">
        <f t="shared" si="14"/>
        <v>0</v>
      </c>
      <c r="I474" s="14">
        <f t="shared" si="15"/>
        <v>0</v>
      </c>
    </row>
    <row r="475" spans="2:9" ht="13.2">
      <c r="B475" t="s">
        <v>458</v>
      </c>
      <c r="C475" s="9" t="s">
        <v>8</v>
      </c>
      <c r="D475" s="20">
        <v>2028</v>
      </c>
      <c r="E475" s="9" t="s">
        <v>47</v>
      </c>
      <c r="F475" s="9" t="s">
        <v>132</v>
      </c>
      <c r="G475" s="30" t="s">
        <v>297</v>
      </c>
      <c r="H475" s="14">
        <f t="shared" si="14"/>
        <v>0</v>
      </c>
      <c r="I475" s="14">
        <f t="shared" si="15"/>
        <v>0</v>
      </c>
    </row>
    <row r="476" spans="2:9" ht="13.2">
      <c r="B476" t="s">
        <v>458</v>
      </c>
      <c r="C476" s="9" t="s">
        <v>8</v>
      </c>
      <c r="D476" s="20">
        <v>2029</v>
      </c>
      <c r="E476" s="9" t="s">
        <v>47</v>
      </c>
      <c r="F476" s="9" t="s">
        <v>132</v>
      </c>
      <c r="G476" s="30" t="s">
        <v>297</v>
      </c>
      <c r="H476" s="14">
        <f t="shared" si="14"/>
        <v>0</v>
      </c>
      <c r="I476" s="14">
        <f t="shared" si="15"/>
        <v>0</v>
      </c>
    </row>
    <row r="477" spans="2:9" ht="13.2">
      <c r="B477" t="s">
        <v>458</v>
      </c>
      <c r="C477" s="9" t="s">
        <v>8</v>
      </c>
      <c r="D477" s="20">
        <v>2030</v>
      </c>
      <c r="E477" s="9" t="s">
        <v>47</v>
      </c>
      <c r="F477" s="9" t="s">
        <v>132</v>
      </c>
      <c r="G477" s="30" t="s">
        <v>297</v>
      </c>
      <c r="H477" s="14">
        <f t="shared" si="14"/>
        <v>0</v>
      </c>
      <c r="I477" s="14">
        <f t="shared" si="15"/>
        <v>0</v>
      </c>
    </row>
    <row r="478" spans="2:9" ht="13.2">
      <c r="B478" t="s">
        <v>458</v>
      </c>
      <c r="C478" s="9" t="s">
        <v>8</v>
      </c>
      <c r="D478" s="20">
        <v>2031</v>
      </c>
      <c r="E478" s="9" t="s">
        <v>47</v>
      </c>
      <c r="F478" s="9" t="s">
        <v>132</v>
      </c>
      <c r="G478" s="30" t="s">
        <v>297</v>
      </c>
      <c r="H478" s="14">
        <f t="shared" si="14"/>
        <v>0</v>
      </c>
      <c r="I478" s="14">
        <f t="shared" si="15"/>
        <v>0</v>
      </c>
    </row>
    <row r="479" spans="2:9" ht="13.2">
      <c r="B479" t="s">
        <v>458</v>
      </c>
      <c r="C479" s="9" t="s">
        <v>8</v>
      </c>
      <c r="D479" s="20">
        <v>2032</v>
      </c>
      <c r="E479" s="9" t="s">
        <v>47</v>
      </c>
      <c r="F479" s="9" t="s">
        <v>132</v>
      </c>
      <c r="G479" s="30" t="s">
        <v>297</v>
      </c>
      <c r="H479" s="14">
        <f t="shared" si="14"/>
        <v>0</v>
      </c>
      <c r="I479" s="14">
        <f t="shared" si="15"/>
        <v>0</v>
      </c>
    </row>
    <row r="480" spans="2:9" ht="13.2">
      <c r="B480" t="s">
        <v>458</v>
      </c>
      <c r="C480" s="9" t="s">
        <v>8</v>
      </c>
      <c r="D480" s="20">
        <v>2033</v>
      </c>
      <c r="E480" s="9" t="s">
        <v>47</v>
      </c>
      <c r="F480" s="9" t="s">
        <v>132</v>
      </c>
      <c r="G480" s="30" t="s">
        <v>297</v>
      </c>
      <c r="H480" s="14">
        <f t="shared" si="14"/>
        <v>0</v>
      </c>
      <c r="I480" s="14">
        <f t="shared" si="15"/>
        <v>0</v>
      </c>
    </row>
    <row r="481" spans="2:9" ht="13.2">
      <c r="B481" t="s">
        <v>458</v>
      </c>
      <c r="C481" s="9" t="s">
        <v>8</v>
      </c>
      <c r="D481" s="20">
        <v>2034</v>
      </c>
      <c r="E481" s="9" t="s">
        <v>47</v>
      </c>
      <c r="F481" s="9" t="s">
        <v>132</v>
      </c>
      <c r="G481" s="30" t="s">
        <v>297</v>
      </c>
      <c r="H481" s="14">
        <f t="shared" si="14"/>
        <v>0</v>
      </c>
      <c r="I481" s="14">
        <f t="shared" si="15"/>
        <v>0</v>
      </c>
    </row>
    <row r="482" spans="2:9" ht="13.2">
      <c r="B482" t="s">
        <v>458</v>
      </c>
      <c r="C482" s="9" t="s">
        <v>8</v>
      </c>
      <c r="D482" s="20">
        <v>2035</v>
      </c>
      <c r="E482" s="9" t="s">
        <v>47</v>
      </c>
      <c r="F482" s="9" t="s">
        <v>132</v>
      </c>
      <c r="G482" s="30" t="s">
        <v>297</v>
      </c>
      <c r="H482" s="14">
        <f t="shared" si="14"/>
        <v>0</v>
      </c>
      <c r="I482" s="14">
        <f t="shared" si="15"/>
        <v>0</v>
      </c>
    </row>
    <row r="483" spans="2:9" ht="13.2">
      <c r="B483" t="s">
        <v>458</v>
      </c>
      <c r="C483" s="9" t="s">
        <v>8</v>
      </c>
      <c r="D483" s="20">
        <v>2036</v>
      </c>
      <c r="E483" s="9" t="s">
        <v>47</v>
      </c>
      <c r="F483" s="9" t="s">
        <v>132</v>
      </c>
      <c r="G483" s="30" t="s">
        <v>297</v>
      </c>
      <c r="H483" s="14">
        <f t="shared" si="14"/>
        <v>0</v>
      </c>
      <c r="I483" s="14">
        <f t="shared" si="15"/>
        <v>0</v>
      </c>
    </row>
    <row r="484" spans="2:9" ht="13.2">
      <c r="B484" t="s">
        <v>458</v>
      </c>
      <c r="C484" s="9" t="s">
        <v>8</v>
      </c>
      <c r="D484" s="20">
        <v>2037</v>
      </c>
      <c r="E484" s="9" t="s">
        <v>47</v>
      </c>
      <c r="F484" s="9" t="s">
        <v>132</v>
      </c>
      <c r="G484" s="30" t="s">
        <v>297</v>
      </c>
      <c r="H484" s="14">
        <f t="shared" si="14"/>
        <v>0</v>
      </c>
      <c r="I484" s="14">
        <f t="shared" si="15"/>
        <v>0</v>
      </c>
    </row>
    <row r="485" spans="2:9" ht="13.2">
      <c r="B485" t="s">
        <v>458</v>
      </c>
      <c r="C485" s="9" t="s">
        <v>8</v>
      </c>
      <c r="D485" s="20">
        <v>2038</v>
      </c>
      <c r="E485" s="9" t="s">
        <v>47</v>
      </c>
      <c r="F485" s="9" t="s">
        <v>132</v>
      </c>
      <c r="G485" s="30" t="s">
        <v>297</v>
      </c>
      <c r="H485" s="14">
        <f t="shared" si="14"/>
        <v>0</v>
      </c>
      <c r="I485" s="14">
        <f t="shared" si="15"/>
        <v>0</v>
      </c>
    </row>
    <row r="486" spans="2:9" ht="13.2">
      <c r="B486" t="s">
        <v>458</v>
      </c>
      <c r="C486" s="9" t="s">
        <v>8</v>
      </c>
      <c r="D486" s="20">
        <v>2039</v>
      </c>
      <c r="E486" s="9" t="s">
        <v>47</v>
      </c>
      <c r="F486" s="9" t="s">
        <v>132</v>
      </c>
      <c r="G486" s="30" t="s">
        <v>297</v>
      </c>
      <c r="H486" s="14">
        <f t="shared" ref="H486:H549" si="16">HLOOKUP(F486,FuelTax2,D486-2006,FALSE)</f>
        <v>0</v>
      </c>
      <c r="I486" s="14">
        <f t="shared" ref="I486:I549" si="17">H486</f>
        <v>0</v>
      </c>
    </row>
    <row r="487" spans="2:9" ht="13.2">
      <c r="B487" t="s">
        <v>458</v>
      </c>
      <c r="C487" s="9" t="s">
        <v>8</v>
      </c>
      <c r="D487" s="20">
        <v>2040</v>
      </c>
      <c r="E487" s="9" t="s">
        <v>47</v>
      </c>
      <c r="F487" s="9" t="s">
        <v>132</v>
      </c>
      <c r="G487" s="30" t="s">
        <v>297</v>
      </c>
      <c r="H487" s="14">
        <f t="shared" si="16"/>
        <v>0</v>
      </c>
      <c r="I487" s="14">
        <f t="shared" si="17"/>
        <v>0</v>
      </c>
    </row>
    <row r="488" spans="2:9" ht="13.2">
      <c r="B488" t="s">
        <v>458</v>
      </c>
      <c r="C488" s="9" t="s">
        <v>8</v>
      </c>
      <c r="D488" s="20">
        <v>2041</v>
      </c>
      <c r="E488" s="9" t="s">
        <v>47</v>
      </c>
      <c r="F488" s="9" t="s">
        <v>132</v>
      </c>
      <c r="G488" s="30" t="s">
        <v>297</v>
      </c>
      <c r="H488" s="14">
        <f t="shared" si="16"/>
        <v>0</v>
      </c>
      <c r="I488" s="14">
        <f t="shared" si="17"/>
        <v>0</v>
      </c>
    </row>
    <row r="489" spans="2:9" ht="13.2">
      <c r="B489" t="s">
        <v>458</v>
      </c>
      <c r="C489" s="9" t="s">
        <v>8</v>
      </c>
      <c r="D489" s="20">
        <v>2042</v>
      </c>
      <c r="E489" s="9" t="s">
        <v>47</v>
      </c>
      <c r="F489" s="9" t="s">
        <v>132</v>
      </c>
      <c r="G489" s="30" t="s">
        <v>297</v>
      </c>
      <c r="H489" s="14">
        <f t="shared" si="16"/>
        <v>0</v>
      </c>
      <c r="I489" s="14">
        <f t="shared" si="17"/>
        <v>0</v>
      </c>
    </row>
    <row r="490" spans="2:9" ht="13.2">
      <c r="B490" t="s">
        <v>458</v>
      </c>
      <c r="C490" s="9" t="s">
        <v>8</v>
      </c>
      <c r="D490" s="20">
        <v>2043</v>
      </c>
      <c r="E490" s="9" t="s">
        <v>47</v>
      </c>
      <c r="F490" s="9" t="s">
        <v>132</v>
      </c>
      <c r="G490" s="30" t="s">
        <v>297</v>
      </c>
      <c r="H490" s="14">
        <f t="shared" si="16"/>
        <v>0</v>
      </c>
      <c r="I490" s="14">
        <f t="shared" si="17"/>
        <v>0</v>
      </c>
    </row>
    <row r="491" spans="2:9" ht="13.2">
      <c r="B491" t="s">
        <v>458</v>
      </c>
      <c r="C491" s="9" t="s">
        <v>8</v>
      </c>
      <c r="D491" s="20">
        <v>2044</v>
      </c>
      <c r="E491" s="9" t="s">
        <v>47</v>
      </c>
      <c r="F491" s="9" t="s">
        <v>132</v>
      </c>
      <c r="G491" s="30" t="s">
        <v>297</v>
      </c>
      <c r="H491" s="14">
        <f t="shared" si="16"/>
        <v>0</v>
      </c>
      <c r="I491" s="14">
        <f t="shared" si="17"/>
        <v>0</v>
      </c>
    </row>
    <row r="492" spans="2:9" ht="13.2">
      <c r="B492" t="s">
        <v>458</v>
      </c>
      <c r="C492" s="9" t="s">
        <v>8</v>
      </c>
      <c r="D492" s="20">
        <v>2045</v>
      </c>
      <c r="E492" s="9" t="s">
        <v>47</v>
      </c>
      <c r="F492" s="9" t="s">
        <v>132</v>
      </c>
      <c r="G492" s="30" t="s">
        <v>297</v>
      </c>
      <c r="H492" s="14">
        <f t="shared" si="16"/>
        <v>0</v>
      </c>
      <c r="I492" s="14">
        <f t="shared" si="17"/>
        <v>0</v>
      </c>
    </row>
    <row r="493" spans="2:9" ht="13.2">
      <c r="B493" t="s">
        <v>458</v>
      </c>
      <c r="C493" s="9" t="s">
        <v>8</v>
      </c>
      <c r="D493" s="20">
        <v>2046</v>
      </c>
      <c r="E493" s="9" t="s">
        <v>47</v>
      </c>
      <c r="F493" s="9" t="s">
        <v>132</v>
      </c>
      <c r="G493" s="30" t="s">
        <v>297</v>
      </c>
      <c r="H493" s="14">
        <f t="shared" si="16"/>
        <v>0</v>
      </c>
      <c r="I493" s="14">
        <f t="shared" si="17"/>
        <v>0</v>
      </c>
    </row>
    <row r="494" spans="2:9" ht="13.2">
      <c r="B494" t="s">
        <v>458</v>
      </c>
      <c r="C494" s="9" t="s">
        <v>8</v>
      </c>
      <c r="D494" s="20">
        <v>2047</v>
      </c>
      <c r="E494" s="9" t="s">
        <v>47</v>
      </c>
      <c r="F494" s="9" t="s">
        <v>132</v>
      </c>
      <c r="G494" s="30" t="s">
        <v>297</v>
      </c>
      <c r="H494" s="14">
        <f t="shared" si="16"/>
        <v>0</v>
      </c>
      <c r="I494" s="14">
        <f t="shared" si="17"/>
        <v>0</v>
      </c>
    </row>
    <row r="495" spans="2:9" ht="13.2">
      <c r="B495" t="s">
        <v>458</v>
      </c>
      <c r="C495" s="9" t="s">
        <v>8</v>
      </c>
      <c r="D495" s="20">
        <v>2048</v>
      </c>
      <c r="E495" s="9" t="s">
        <v>47</v>
      </c>
      <c r="F495" s="9" t="s">
        <v>132</v>
      </c>
      <c r="G495" s="30" t="s">
        <v>297</v>
      </c>
      <c r="H495" s="14">
        <f t="shared" si="16"/>
        <v>0</v>
      </c>
      <c r="I495" s="14">
        <f t="shared" si="17"/>
        <v>0</v>
      </c>
    </row>
    <row r="496" spans="2:9" ht="13.2">
      <c r="B496" t="s">
        <v>458</v>
      </c>
      <c r="C496" s="9" t="s">
        <v>8</v>
      </c>
      <c r="D496" s="20">
        <v>2049</v>
      </c>
      <c r="E496" s="9" t="s">
        <v>47</v>
      </c>
      <c r="F496" s="9" t="s">
        <v>132</v>
      </c>
      <c r="G496" s="30" t="s">
        <v>297</v>
      </c>
      <c r="H496" s="14">
        <f t="shared" si="16"/>
        <v>0</v>
      </c>
      <c r="I496" s="14">
        <f t="shared" si="17"/>
        <v>0</v>
      </c>
    </row>
    <row r="497" spans="2:9" ht="13.2">
      <c r="B497" t="s">
        <v>458</v>
      </c>
      <c r="C497" s="9" t="s">
        <v>8</v>
      </c>
      <c r="D497" s="20">
        <v>2050</v>
      </c>
      <c r="E497" s="9" t="s">
        <v>47</v>
      </c>
      <c r="F497" s="9" t="s">
        <v>132</v>
      </c>
      <c r="G497" s="30" t="s">
        <v>297</v>
      </c>
      <c r="H497" s="14">
        <f t="shared" si="16"/>
        <v>0</v>
      </c>
      <c r="I497" s="14">
        <f t="shared" si="17"/>
        <v>0</v>
      </c>
    </row>
    <row r="498" spans="2:9" ht="13.2">
      <c r="B498" t="s">
        <v>458</v>
      </c>
      <c r="C498" t="s">
        <v>8</v>
      </c>
      <c r="D498" s="6">
        <v>2010</v>
      </c>
      <c r="E498" t="s">
        <v>47</v>
      </c>
      <c r="F498" s="9" t="s">
        <v>131</v>
      </c>
      <c r="G498" s="30" t="s">
        <v>297</v>
      </c>
      <c r="H498" s="14">
        <f t="shared" si="16"/>
        <v>58.92580095566354</v>
      </c>
      <c r="I498" s="14">
        <f t="shared" si="17"/>
        <v>58.92580095566354</v>
      </c>
    </row>
    <row r="499" spans="2:9" ht="13.2">
      <c r="B499" t="s">
        <v>458</v>
      </c>
      <c r="C499" s="9" t="s">
        <v>8</v>
      </c>
      <c r="D499" s="20">
        <v>2011</v>
      </c>
      <c r="E499" s="9" t="s">
        <v>47</v>
      </c>
      <c r="F499" s="9" t="s">
        <v>131</v>
      </c>
      <c r="G499" s="30" t="s">
        <v>297</v>
      </c>
      <c r="H499" s="14">
        <f t="shared" si="16"/>
        <v>58.465930286829597</v>
      </c>
      <c r="I499" s="14">
        <f t="shared" si="17"/>
        <v>58.465930286829597</v>
      </c>
    </row>
    <row r="500" spans="2:9" ht="13.2">
      <c r="B500" t="s">
        <v>458</v>
      </c>
      <c r="C500" s="9" t="s">
        <v>8</v>
      </c>
      <c r="D500" s="20">
        <v>2012</v>
      </c>
      <c r="E500" s="9" t="s">
        <v>47</v>
      </c>
      <c r="F500" s="9" t="s">
        <v>131</v>
      </c>
      <c r="G500" s="30" t="s">
        <v>297</v>
      </c>
      <c r="H500" s="14">
        <f t="shared" si="16"/>
        <v>58.483957867379701</v>
      </c>
      <c r="I500" s="14">
        <f t="shared" si="17"/>
        <v>58.483957867379701</v>
      </c>
    </row>
    <row r="501" spans="2:9" ht="13.2">
      <c r="B501" t="s">
        <v>458</v>
      </c>
      <c r="C501" s="9" t="s">
        <v>8</v>
      </c>
      <c r="D501" s="20">
        <v>2013</v>
      </c>
      <c r="E501" s="9" t="s">
        <v>47</v>
      </c>
      <c r="F501" s="9" t="s">
        <v>131</v>
      </c>
      <c r="G501" s="30" t="s">
        <v>297</v>
      </c>
      <c r="H501" s="14">
        <f t="shared" si="16"/>
        <v>58.995998149242141</v>
      </c>
      <c r="I501" s="14">
        <f t="shared" si="17"/>
        <v>58.995998149242141</v>
      </c>
    </row>
    <row r="502" spans="2:9" ht="13.2">
      <c r="B502" t="s">
        <v>458</v>
      </c>
      <c r="C502" s="9" t="s">
        <v>8</v>
      </c>
      <c r="D502" s="20">
        <v>2014</v>
      </c>
      <c r="E502" s="9" t="s">
        <v>47</v>
      </c>
      <c r="F502" s="9" t="s">
        <v>131</v>
      </c>
      <c r="G502" s="30" t="s">
        <v>297</v>
      </c>
      <c r="H502" s="14">
        <f t="shared" si="16"/>
        <v>59.597657841140524</v>
      </c>
      <c r="I502" s="14">
        <f t="shared" si="17"/>
        <v>59.597657841140524</v>
      </c>
    </row>
    <row r="503" spans="2:9" ht="13.2">
      <c r="B503" t="s">
        <v>458</v>
      </c>
      <c r="C503" s="9" t="s">
        <v>8</v>
      </c>
      <c r="D503" s="20">
        <v>2015</v>
      </c>
      <c r="E503" s="9" t="s">
        <v>47</v>
      </c>
      <c r="F503" s="9" t="s">
        <v>131</v>
      </c>
      <c r="G503" s="30" t="s">
        <v>297</v>
      </c>
      <c r="H503" s="14">
        <f t="shared" si="16"/>
        <v>54.9</v>
      </c>
      <c r="I503" s="14">
        <f t="shared" si="17"/>
        <v>54.9</v>
      </c>
    </row>
    <row r="504" spans="2:9" ht="13.2">
      <c r="B504" t="s">
        <v>458</v>
      </c>
      <c r="C504" s="9" t="s">
        <v>8</v>
      </c>
      <c r="D504" s="20">
        <v>2016</v>
      </c>
      <c r="E504" s="9" t="s">
        <v>47</v>
      </c>
      <c r="F504" s="9" t="s">
        <v>131</v>
      </c>
      <c r="G504" s="30" t="s">
        <v>297</v>
      </c>
      <c r="H504" s="14">
        <f t="shared" si="16"/>
        <v>54.9</v>
      </c>
      <c r="I504" s="14">
        <f t="shared" si="17"/>
        <v>54.9</v>
      </c>
    </row>
    <row r="505" spans="2:9" ht="13.2">
      <c r="B505" t="s">
        <v>458</v>
      </c>
      <c r="C505" s="9" t="s">
        <v>8</v>
      </c>
      <c r="D505" s="20">
        <v>2017</v>
      </c>
      <c r="E505" s="9" t="s">
        <v>47</v>
      </c>
      <c r="F505" s="9" t="s">
        <v>131</v>
      </c>
      <c r="G505" s="30" t="s">
        <v>297</v>
      </c>
      <c r="H505" s="14">
        <f t="shared" si="16"/>
        <v>54.9</v>
      </c>
      <c r="I505" s="14">
        <f t="shared" si="17"/>
        <v>54.9</v>
      </c>
    </row>
    <row r="506" spans="2:9" ht="13.2">
      <c r="B506" t="s">
        <v>458</v>
      </c>
      <c r="C506" s="9" t="s">
        <v>8</v>
      </c>
      <c r="D506" s="20">
        <v>2018</v>
      </c>
      <c r="E506" s="9" t="s">
        <v>47</v>
      </c>
      <c r="F506" s="9" t="s">
        <v>131</v>
      </c>
      <c r="G506" s="30" t="s">
        <v>297</v>
      </c>
      <c r="H506" s="14">
        <f t="shared" si="16"/>
        <v>54.9</v>
      </c>
      <c r="I506" s="14">
        <f t="shared" si="17"/>
        <v>54.9</v>
      </c>
    </row>
    <row r="507" spans="2:9" ht="13.2">
      <c r="B507" t="s">
        <v>458</v>
      </c>
      <c r="C507" s="9" t="s">
        <v>8</v>
      </c>
      <c r="D507" s="20">
        <v>2019</v>
      </c>
      <c r="E507" s="9" t="s">
        <v>47</v>
      </c>
      <c r="F507" s="9" t="s">
        <v>131</v>
      </c>
      <c r="G507" s="30" t="s">
        <v>297</v>
      </c>
      <c r="H507" s="14">
        <f t="shared" si="16"/>
        <v>54.9</v>
      </c>
      <c r="I507" s="14">
        <f t="shared" si="17"/>
        <v>54.9</v>
      </c>
    </row>
    <row r="508" spans="2:9" ht="13.2">
      <c r="B508" t="s">
        <v>458</v>
      </c>
      <c r="C508" s="9" t="s">
        <v>8</v>
      </c>
      <c r="D508" s="20">
        <v>2020</v>
      </c>
      <c r="E508" s="9" t="s">
        <v>47</v>
      </c>
      <c r="F508" s="9" t="s">
        <v>131</v>
      </c>
      <c r="G508" s="30" t="s">
        <v>297</v>
      </c>
      <c r="H508" s="14">
        <f t="shared" si="16"/>
        <v>54.9</v>
      </c>
      <c r="I508" s="14">
        <f t="shared" si="17"/>
        <v>54.9</v>
      </c>
    </row>
    <row r="509" spans="2:9" ht="13.2">
      <c r="B509" t="s">
        <v>458</v>
      </c>
      <c r="C509" s="9" t="s">
        <v>8</v>
      </c>
      <c r="D509" s="20">
        <v>2021</v>
      </c>
      <c r="E509" s="9" t="s">
        <v>47</v>
      </c>
      <c r="F509" s="9" t="s">
        <v>131</v>
      </c>
      <c r="G509" s="30" t="s">
        <v>297</v>
      </c>
      <c r="H509" s="14">
        <f t="shared" si="16"/>
        <v>54.9</v>
      </c>
      <c r="I509" s="14">
        <f t="shared" si="17"/>
        <v>54.9</v>
      </c>
    </row>
    <row r="510" spans="2:9" ht="13.2">
      <c r="B510" t="s">
        <v>458</v>
      </c>
      <c r="C510" s="9" t="s">
        <v>8</v>
      </c>
      <c r="D510" s="20">
        <v>2022</v>
      </c>
      <c r="E510" s="9" t="s">
        <v>47</v>
      </c>
      <c r="F510" s="9" t="s">
        <v>131</v>
      </c>
      <c r="G510" s="30" t="s">
        <v>297</v>
      </c>
      <c r="H510" s="14">
        <f t="shared" si="16"/>
        <v>54.9</v>
      </c>
      <c r="I510" s="14">
        <f t="shared" si="17"/>
        <v>54.9</v>
      </c>
    </row>
    <row r="511" spans="2:9" ht="13.2">
      <c r="B511" t="s">
        <v>458</v>
      </c>
      <c r="C511" s="9" t="s">
        <v>8</v>
      </c>
      <c r="D511" s="20">
        <v>2023</v>
      </c>
      <c r="E511" s="9" t="s">
        <v>47</v>
      </c>
      <c r="F511" s="9" t="s">
        <v>131</v>
      </c>
      <c r="G511" s="30" t="s">
        <v>297</v>
      </c>
      <c r="H511" s="14">
        <f t="shared" si="16"/>
        <v>54.9</v>
      </c>
      <c r="I511" s="14">
        <f t="shared" si="17"/>
        <v>54.9</v>
      </c>
    </row>
    <row r="512" spans="2:9" ht="13.2">
      <c r="B512" t="s">
        <v>458</v>
      </c>
      <c r="C512" s="9" t="s">
        <v>8</v>
      </c>
      <c r="D512" s="20">
        <v>2024</v>
      </c>
      <c r="E512" s="9" t="s">
        <v>47</v>
      </c>
      <c r="F512" s="9" t="s">
        <v>131</v>
      </c>
      <c r="G512" s="30" t="s">
        <v>297</v>
      </c>
      <c r="H512" s="14">
        <f t="shared" si="16"/>
        <v>54.9</v>
      </c>
      <c r="I512" s="14">
        <f t="shared" si="17"/>
        <v>54.9</v>
      </c>
    </row>
    <row r="513" spans="2:9" ht="13.2">
      <c r="B513" t="s">
        <v>458</v>
      </c>
      <c r="C513" s="9" t="s">
        <v>8</v>
      </c>
      <c r="D513" s="20">
        <v>2025</v>
      </c>
      <c r="E513" s="9" t="s">
        <v>47</v>
      </c>
      <c r="F513" s="9" t="s">
        <v>131</v>
      </c>
      <c r="G513" s="30" t="s">
        <v>297</v>
      </c>
      <c r="H513" s="14">
        <f t="shared" si="16"/>
        <v>54.9</v>
      </c>
      <c r="I513" s="14">
        <f t="shared" si="17"/>
        <v>54.9</v>
      </c>
    </row>
    <row r="514" spans="2:9" ht="13.2">
      <c r="B514" t="s">
        <v>458</v>
      </c>
      <c r="C514" s="9" t="s">
        <v>8</v>
      </c>
      <c r="D514" s="20">
        <v>2026</v>
      </c>
      <c r="E514" s="9" t="s">
        <v>47</v>
      </c>
      <c r="F514" s="9" t="s">
        <v>131</v>
      </c>
      <c r="G514" s="30" t="s">
        <v>297</v>
      </c>
      <c r="H514" s="14">
        <f t="shared" si="16"/>
        <v>54.9</v>
      </c>
      <c r="I514" s="14">
        <f t="shared" si="17"/>
        <v>54.9</v>
      </c>
    </row>
    <row r="515" spans="2:9" ht="13.2">
      <c r="B515" t="s">
        <v>458</v>
      </c>
      <c r="C515" s="9" t="s">
        <v>8</v>
      </c>
      <c r="D515" s="20">
        <v>2027</v>
      </c>
      <c r="E515" s="9" t="s">
        <v>47</v>
      </c>
      <c r="F515" s="9" t="s">
        <v>131</v>
      </c>
      <c r="G515" s="30" t="s">
        <v>297</v>
      </c>
      <c r="H515" s="14">
        <f t="shared" si="16"/>
        <v>54.9</v>
      </c>
      <c r="I515" s="14">
        <f t="shared" si="17"/>
        <v>54.9</v>
      </c>
    </row>
    <row r="516" spans="2:9" ht="13.2">
      <c r="B516" t="s">
        <v>458</v>
      </c>
      <c r="C516" s="9" t="s">
        <v>8</v>
      </c>
      <c r="D516" s="20">
        <v>2028</v>
      </c>
      <c r="E516" s="9" t="s">
        <v>47</v>
      </c>
      <c r="F516" s="9" t="s">
        <v>131</v>
      </c>
      <c r="G516" s="30" t="s">
        <v>297</v>
      </c>
      <c r="H516" s="14">
        <f t="shared" si="16"/>
        <v>54.9</v>
      </c>
      <c r="I516" s="14">
        <f t="shared" si="17"/>
        <v>54.9</v>
      </c>
    </row>
    <row r="517" spans="2:9" ht="13.2">
      <c r="B517" t="s">
        <v>458</v>
      </c>
      <c r="C517" s="9" t="s">
        <v>8</v>
      </c>
      <c r="D517" s="20">
        <v>2029</v>
      </c>
      <c r="E517" s="9" t="s">
        <v>47</v>
      </c>
      <c r="F517" s="9" t="s">
        <v>131</v>
      </c>
      <c r="G517" s="30" t="s">
        <v>297</v>
      </c>
      <c r="H517" s="14">
        <f t="shared" si="16"/>
        <v>54.9</v>
      </c>
      <c r="I517" s="14">
        <f t="shared" si="17"/>
        <v>54.9</v>
      </c>
    </row>
    <row r="518" spans="2:9" ht="13.2">
      <c r="B518" t="s">
        <v>458</v>
      </c>
      <c r="C518" s="9" t="s">
        <v>8</v>
      </c>
      <c r="D518" s="20">
        <v>2030</v>
      </c>
      <c r="E518" s="9" t="s">
        <v>47</v>
      </c>
      <c r="F518" s="9" t="s">
        <v>131</v>
      </c>
      <c r="G518" s="30" t="s">
        <v>297</v>
      </c>
      <c r="H518" s="14">
        <f t="shared" si="16"/>
        <v>54.9</v>
      </c>
      <c r="I518" s="14">
        <f t="shared" si="17"/>
        <v>54.9</v>
      </c>
    </row>
    <row r="519" spans="2:9" ht="13.2">
      <c r="B519" t="s">
        <v>458</v>
      </c>
      <c r="C519" s="9" t="s">
        <v>8</v>
      </c>
      <c r="D519" s="20">
        <v>2031</v>
      </c>
      <c r="E519" s="9" t="s">
        <v>47</v>
      </c>
      <c r="F519" s="9" t="s">
        <v>131</v>
      </c>
      <c r="G519" s="30" t="s">
        <v>297</v>
      </c>
      <c r="H519" s="14">
        <f t="shared" si="16"/>
        <v>54.9</v>
      </c>
      <c r="I519" s="14">
        <f t="shared" si="17"/>
        <v>54.9</v>
      </c>
    </row>
    <row r="520" spans="2:9" ht="13.2">
      <c r="B520" t="s">
        <v>458</v>
      </c>
      <c r="C520" s="9" t="s">
        <v>8</v>
      </c>
      <c r="D520" s="20">
        <v>2032</v>
      </c>
      <c r="E520" s="9" t="s">
        <v>47</v>
      </c>
      <c r="F520" s="9" t="s">
        <v>131</v>
      </c>
      <c r="G520" s="30" t="s">
        <v>297</v>
      </c>
      <c r="H520" s="14">
        <f t="shared" si="16"/>
        <v>54.9</v>
      </c>
      <c r="I520" s="14">
        <f t="shared" si="17"/>
        <v>54.9</v>
      </c>
    </row>
    <row r="521" spans="2:9" ht="13.2">
      <c r="B521" t="s">
        <v>458</v>
      </c>
      <c r="C521" s="9" t="s">
        <v>8</v>
      </c>
      <c r="D521" s="20">
        <v>2033</v>
      </c>
      <c r="E521" s="9" t="s">
        <v>47</v>
      </c>
      <c r="F521" s="9" t="s">
        <v>131</v>
      </c>
      <c r="G521" s="30" t="s">
        <v>297</v>
      </c>
      <c r="H521" s="14">
        <f t="shared" si="16"/>
        <v>54.9</v>
      </c>
      <c r="I521" s="14">
        <f t="shared" si="17"/>
        <v>54.9</v>
      </c>
    </row>
    <row r="522" spans="2:9" ht="13.2">
      <c r="B522" t="s">
        <v>458</v>
      </c>
      <c r="C522" s="9" t="s">
        <v>8</v>
      </c>
      <c r="D522" s="20">
        <v>2034</v>
      </c>
      <c r="E522" s="9" t="s">
        <v>47</v>
      </c>
      <c r="F522" s="9" t="s">
        <v>131</v>
      </c>
      <c r="G522" s="30" t="s">
        <v>297</v>
      </c>
      <c r="H522" s="14">
        <f t="shared" si="16"/>
        <v>54.9</v>
      </c>
      <c r="I522" s="14">
        <f t="shared" si="17"/>
        <v>54.9</v>
      </c>
    </row>
    <row r="523" spans="2:9" ht="13.2">
      <c r="B523" t="s">
        <v>458</v>
      </c>
      <c r="C523" s="9" t="s">
        <v>8</v>
      </c>
      <c r="D523" s="20">
        <v>2035</v>
      </c>
      <c r="E523" s="9" t="s">
        <v>47</v>
      </c>
      <c r="F523" s="9" t="s">
        <v>131</v>
      </c>
      <c r="G523" s="30" t="s">
        <v>297</v>
      </c>
      <c r="H523" s="14">
        <f t="shared" si="16"/>
        <v>54.9</v>
      </c>
      <c r="I523" s="14">
        <f t="shared" si="17"/>
        <v>54.9</v>
      </c>
    </row>
    <row r="524" spans="2:9" ht="13.2">
      <c r="B524" t="s">
        <v>458</v>
      </c>
      <c r="C524" s="9" t="s">
        <v>8</v>
      </c>
      <c r="D524" s="20">
        <v>2036</v>
      </c>
      <c r="E524" s="9" t="s">
        <v>47</v>
      </c>
      <c r="F524" s="9" t="s">
        <v>131</v>
      </c>
      <c r="G524" s="30" t="s">
        <v>297</v>
      </c>
      <c r="H524" s="14">
        <f t="shared" si="16"/>
        <v>54.9</v>
      </c>
      <c r="I524" s="14">
        <f t="shared" si="17"/>
        <v>54.9</v>
      </c>
    </row>
    <row r="525" spans="2:9" ht="13.2">
      <c r="B525" t="s">
        <v>458</v>
      </c>
      <c r="C525" s="9" t="s">
        <v>8</v>
      </c>
      <c r="D525" s="20">
        <v>2037</v>
      </c>
      <c r="E525" s="9" t="s">
        <v>47</v>
      </c>
      <c r="F525" s="9" t="s">
        <v>131</v>
      </c>
      <c r="G525" s="30" t="s">
        <v>297</v>
      </c>
      <c r="H525" s="14">
        <f t="shared" si="16"/>
        <v>54.9</v>
      </c>
      <c r="I525" s="14">
        <f t="shared" si="17"/>
        <v>54.9</v>
      </c>
    </row>
    <row r="526" spans="2:9" ht="13.2">
      <c r="B526" t="s">
        <v>458</v>
      </c>
      <c r="C526" s="9" t="s">
        <v>8</v>
      </c>
      <c r="D526" s="20">
        <v>2038</v>
      </c>
      <c r="E526" s="9" t="s">
        <v>47</v>
      </c>
      <c r="F526" s="9" t="s">
        <v>131</v>
      </c>
      <c r="G526" s="30" t="s">
        <v>297</v>
      </c>
      <c r="H526" s="14">
        <f t="shared" si="16"/>
        <v>54.9</v>
      </c>
      <c r="I526" s="14">
        <f t="shared" si="17"/>
        <v>54.9</v>
      </c>
    </row>
    <row r="527" spans="2:9" ht="13.2">
      <c r="B527" t="s">
        <v>458</v>
      </c>
      <c r="C527" s="9" t="s">
        <v>8</v>
      </c>
      <c r="D527" s="20">
        <v>2039</v>
      </c>
      <c r="E527" s="9" t="s">
        <v>47</v>
      </c>
      <c r="F527" s="9" t="s">
        <v>131</v>
      </c>
      <c r="G527" s="30" t="s">
        <v>297</v>
      </c>
      <c r="H527" s="14">
        <f t="shared" si="16"/>
        <v>54.9</v>
      </c>
      <c r="I527" s="14">
        <f t="shared" si="17"/>
        <v>54.9</v>
      </c>
    </row>
    <row r="528" spans="2:9" ht="13.2">
      <c r="B528" t="s">
        <v>458</v>
      </c>
      <c r="C528" s="9" t="s">
        <v>8</v>
      </c>
      <c r="D528" s="20">
        <v>2040</v>
      </c>
      <c r="E528" s="9" t="s">
        <v>47</v>
      </c>
      <c r="F528" s="9" t="s">
        <v>131</v>
      </c>
      <c r="G528" s="30" t="s">
        <v>297</v>
      </c>
      <c r="H528" s="14">
        <f t="shared" si="16"/>
        <v>54.9</v>
      </c>
      <c r="I528" s="14">
        <f t="shared" si="17"/>
        <v>54.9</v>
      </c>
    </row>
    <row r="529" spans="2:9" ht="13.2">
      <c r="B529" t="s">
        <v>458</v>
      </c>
      <c r="C529" s="9" t="s">
        <v>8</v>
      </c>
      <c r="D529" s="20">
        <v>2041</v>
      </c>
      <c r="E529" s="9" t="s">
        <v>47</v>
      </c>
      <c r="F529" s="9" t="s">
        <v>131</v>
      </c>
      <c r="G529" s="30" t="s">
        <v>297</v>
      </c>
      <c r="H529" s="14">
        <f t="shared" si="16"/>
        <v>54.9</v>
      </c>
      <c r="I529" s="14">
        <f t="shared" si="17"/>
        <v>54.9</v>
      </c>
    </row>
    <row r="530" spans="2:9" ht="13.2">
      <c r="B530" t="s">
        <v>458</v>
      </c>
      <c r="C530" s="9" t="s">
        <v>8</v>
      </c>
      <c r="D530" s="20">
        <v>2042</v>
      </c>
      <c r="E530" s="9" t="s">
        <v>47</v>
      </c>
      <c r="F530" s="9" t="s">
        <v>131</v>
      </c>
      <c r="G530" s="30" t="s">
        <v>297</v>
      </c>
      <c r="H530" s="14">
        <f t="shared" si="16"/>
        <v>54.9</v>
      </c>
      <c r="I530" s="14">
        <f t="shared" si="17"/>
        <v>54.9</v>
      </c>
    </row>
    <row r="531" spans="2:9" ht="13.2">
      <c r="B531" t="s">
        <v>458</v>
      </c>
      <c r="C531" s="9" t="s">
        <v>8</v>
      </c>
      <c r="D531" s="20">
        <v>2043</v>
      </c>
      <c r="E531" s="9" t="s">
        <v>47</v>
      </c>
      <c r="F531" s="9" t="s">
        <v>131</v>
      </c>
      <c r="G531" s="30" t="s">
        <v>297</v>
      </c>
      <c r="H531" s="14">
        <f t="shared" si="16"/>
        <v>54.9</v>
      </c>
      <c r="I531" s="14">
        <f t="shared" si="17"/>
        <v>54.9</v>
      </c>
    </row>
    <row r="532" spans="2:9" ht="13.2">
      <c r="B532" t="s">
        <v>458</v>
      </c>
      <c r="C532" s="9" t="s">
        <v>8</v>
      </c>
      <c r="D532" s="20">
        <v>2044</v>
      </c>
      <c r="E532" s="9" t="s">
        <v>47</v>
      </c>
      <c r="F532" s="9" t="s">
        <v>131</v>
      </c>
      <c r="G532" s="30" t="s">
        <v>297</v>
      </c>
      <c r="H532" s="14">
        <f t="shared" si="16"/>
        <v>54.9</v>
      </c>
      <c r="I532" s="14">
        <f t="shared" si="17"/>
        <v>54.9</v>
      </c>
    </row>
    <row r="533" spans="2:9" ht="13.2">
      <c r="B533" t="s">
        <v>458</v>
      </c>
      <c r="C533" s="9" t="s">
        <v>8</v>
      </c>
      <c r="D533" s="20">
        <v>2045</v>
      </c>
      <c r="E533" s="9" t="s">
        <v>47</v>
      </c>
      <c r="F533" s="9" t="s">
        <v>131</v>
      </c>
      <c r="G533" s="30" t="s">
        <v>297</v>
      </c>
      <c r="H533" s="14">
        <f t="shared" si="16"/>
        <v>54.9</v>
      </c>
      <c r="I533" s="14">
        <f t="shared" si="17"/>
        <v>54.9</v>
      </c>
    </row>
    <row r="534" spans="2:9" ht="13.2">
      <c r="B534" t="s">
        <v>458</v>
      </c>
      <c r="C534" s="9" t="s">
        <v>8</v>
      </c>
      <c r="D534" s="20">
        <v>2046</v>
      </c>
      <c r="E534" s="9" t="s">
        <v>47</v>
      </c>
      <c r="F534" s="9" t="s">
        <v>131</v>
      </c>
      <c r="G534" s="30" t="s">
        <v>297</v>
      </c>
      <c r="H534" s="14">
        <f t="shared" si="16"/>
        <v>54.9</v>
      </c>
      <c r="I534" s="14">
        <f t="shared" si="17"/>
        <v>54.9</v>
      </c>
    </row>
    <row r="535" spans="2:9" ht="13.2">
      <c r="B535" t="s">
        <v>458</v>
      </c>
      <c r="C535" s="9" t="s">
        <v>8</v>
      </c>
      <c r="D535" s="20">
        <v>2047</v>
      </c>
      <c r="E535" s="9" t="s">
        <v>47</v>
      </c>
      <c r="F535" s="9" t="s">
        <v>131</v>
      </c>
      <c r="G535" s="30" t="s">
        <v>297</v>
      </c>
      <c r="H535" s="14">
        <f t="shared" si="16"/>
        <v>54.9</v>
      </c>
      <c r="I535" s="14">
        <f t="shared" si="17"/>
        <v>54.9</v>
      </c>
    </row>
    <row r="536" spans="2:9" ht="13.2">
      <c r="B536" t="s">
        <v>458</v>
      </c>
      <c r="C536" s="9" t="s">
        <v>8</v>
      </c>
      <c r="D536" s="20">
        <v>2048</v>
      </c>
      <c r="E536" s="9" t="s">
        <v>47</v>
      </c>
      <c r="F536" s="9" t="s">
        <v>131</v>
      </c>
      <c r="G536" s="30" t="s">
        <v>297</v>
      </c>
      <c r="H536" s="14">
        <f t="shared" si="16"/>
        <v>54.9</v>
      </c>
      <c r="I536" s="14">
        <f t="shared" si="17"/>
        <v>54.9</v>
      </c>
    </row>
    <row r="537" spans="2:9" ht="13.2">
      <c r="B537" t="s">
        <v>458</v>
      </c>
      <c r="C537" s="9" t="s">
        <v>8</v>
      </c>
      <c r="D537" s="20">
        <v>2049</v>
      </c>
      <c r="E537" s="9" t="s">
        <v>47</v>
      </c>
      <c r="F537" s="9" t="s">
        <v>131</v>
      </c>
      <c r="G537" s="30" t="s">
        <v>297</v>
      </c>
      <c r="H537" s="14">
        <f t="shared" si="16"/>
        <v>54.9</v>
      </c>
      <c r="I537" s="14">
        <f t="shared" si="17"/>
        <v>54.9</v>
      </c>
    </row>
    <row r="538" spans="2:9" ht="13.2">
      <c r="B538" t="s">
        <v>458</v>
      </c>
      <c r="C538" s="9" t="s">
        <v>8</v>
      </c>
      <c r="D538" s="20">
        <v>2050</v>
      </c>
      <c r="E538" s="9" t="s">
        <v>47</v>
      </c>
      <c r="F538" s="9" t="s">
        <v>131</v>
      </c>
      <c r="G538" s="30" t="s">
        <v>297</v>
      </c>
      <c r="H538" s="14">
        <f t="shared" si="16"/>
        <v>54.9</v>
      </c>
      <c r="I538" s="14">
        <f t="shared" si="17"/>
        <v>54.9</v>
      </c>
    </row>
    <row r="539" spans="2:9" ht="13.2">
      <c r="B539" t="s">
        <v>458</v>
      </c>
      <c r="C539" t="s">
        <v>8</v>
      </c>
      <c r="D539" s="6">
        <v>2010</v>
      </c>
      <c r="E539" t="s">
        <v>47</v>
      </c>
      <c r="F539" s="9" t="s">
        <v>474</v>
      </c>
      <c r="G539" s="30" t="s">
        <v>297</v>
      </c>
      <c r="H539" s="14">
        <f t="shared" si="16"/>
        <v>58.92580095566354</v>
      </c>
      <c r="I539" s="14">
        <f t="shared" si="17"/>
        <v>58.92580095566354</v>
      </c>
    </row>
    <row r="540" spans="2:9" ht="13.2">
      <c r="B540" t="s">
        <v>458</v>
      </c>
      <c r="C540" s="9" t="s">
        <v>8</v>
      </c>
      <c r="D540" s="20">
        <v>2011</v>
      </c>
      <c r="E540" s="9" t="s">
        <v>47</v>
      </c>
      <c r="F540" s="9" t="s">
        <v>474</v>
      </c>
      <c r="G540" s="30" t="s">
        <v>297</v>
      </c>
      <c r="H540" s="14">
        <f t="shared" si="16"/>
        <v>58.465930286829597</v>
      </c>
      <c r="I540" s="14">
        <f t="shared" si="17"/>
        <v>58.465930286829597</v>
      </c>
    </row>
    <row r="541" spans="2:9" ht="13.2">
      <c r="B541" t="s">
        <v>458</v>
      </c>
      <c r="C541" s="9" t="s">
        <v>8</v>
      </c>
      <c r="D541" s="20">
        <v>2012</v>
      </c>
      <c r="E541" s="9" t="s">
        <v>47</v>
      </c>
      <c r="F541" s="9" t="s">
        <v>474</v>
      </c>
      <c r="G541" s="30" t="s">
        <v>297</v>
      </c>
      <c r="H541" s="14">
        <f t="shared" si="16"/>
        <v>58.483957867379701</v>
      </c>
      <c r="I541" s="14">
        <f t="shared" si="17"/>
        <v>58.483957867379701</v>
      </c>
    </row>
    <row r="542" spans="2:9" ht="13.2">
      <c r="B542" t="s">
        <v>458</v>
      </c>
      <c r="C542" s="9" t="s">
        <v>8</v>
      </c>
      <c r="D542" s="20">
        <v>2013</v>
      </c>
      <c r="E542" s="9" t="s">
        <v>47</v>
      </c>
      <c r="F542" s="9" t="s">
        <v>474</v>
      </c>
      <c r="G542" s="30" t="s">
        <v>297</v>
      </c>
      <c r="H542" s="14">
        <f t="shared" si="16"/>
        <v>58.995998149242141</v>
      </c>
      <c r="I542" s="14">
        <f t="shared" si="17"/>
        <v>58.995998149242141</v>
      </c>
    </row>
    <row r="543" spans="2:9" ht="13.2">
      <c r="B543" t="s">
        <v>458</v>
      </c>
      <c r="C543" s="9" t="s">
        <v>8</v>
      </c>
      <c r="D543" s="20">
        <v>2014</v>
      </c>
      <c r="E543" s="9" t="s">
        <v>47</v>
      </c>
      <c r="F543" s="9" t="s">
        <v>474</v>
      </c>
      <c r="G543" s="30" t="s">
        <v>297</v>
      </c>
      <c r="H543" s="14">
        <f t="shared" si="16"/>
        <v>59.597657841140524</v>
      </c>
      <c r="I543" s="14">
        <f t="shared" si="17"/>
        <v>59.597657841140524</v>
      </c>
    </row>
    <row r="544" spans="2:9" ht="13.2">
      <c r="B544" t="s">
        <v>458</v>
      </c>
      <c r="C544" s="9" t="s">
        <v>8</v>
      </c>
      <c r="D544" s="20">
        <v>2015</v>
      </c>
      <c r="E544" s="9" t="s">
        <v>47</v>
      </c>
      <c r="F544" s="9" t="s">
        <v>474</v>
      </c>
      <c r="G544" s="30" t="s">
        <v>297</v>
      </c>
      <c r="H544" s="14">
        <f t="shared" si="16"/>
        <v>54.9</v>
      </c>
      <c r="I544" s="14">
        <f t="shared" si="17"/>
        <v>54.9</v>
      </c>
    </row>
    <row r="545" spans="2:9" ht="13.2">
      <c r="B545" t="s">
        <v>458</v>
      </c>
      <c r="C545" s="9" t="s">
        <v>8</v>
      </c>
      <c r="D545" s="20">
        <v>2016</v>
      </c>
      <c r="E545" s="9" t="s">
        <v>47</v>
      </c>
      <c r="F545" s="9" t="s">
        <v>474</v>
      </c>
      <c r="G545" s="30" t="s">
        <v>297</v>
      </c>
      <c r="H545" s="14">
        <f t="shared" si="16"/>
        <v>54.9</v>
      </c>
      <c r="I545" s="14">
        <f t="shared" si="17"/>
        <v>54.9</v>
      </c>
    </row>
    <row r="546" spans="2:9" ht="13.2">
      <c r="B546" t="s">
        <v>458</v>
      </c>
      <c r="C546" s="9" t="s">
        <v>8</v>
      </c>
      <c r="D546" s="20">
        <v>2017</v>
      </c>
      <c r="E546" s="9" t="s">
        <v>47</v>
      </c>
      <c r="F546" s="9" t="s">
        <v>474</v>
      </c>
      <c r="G546" s="30" t="s">
        <v>297</v>
      </c>
      <c r="H546" s="14">
        <f t="shared" si="16"/>
        <v>54.9</v>
      </c>
      <c r="I546" s="14">
        <f t="shared" si="17"/>
        <v>54.9</v>
      </c>
    </row>
    <row r="547" spans="2:9" ht="13.2">
      <c r="B547" t="s">
        <v>458</v>
      </c>
      <c r="C547" s="9" t="s">
        <v>8</v>
      </c>
      <c r="D547" s="20">
        <v>2018</v>
      </c>
      <c r="E547" s="9" t="s">
        <v>47</v>
      </c>
      <c r="F547" s="9" t="s">
        <v>474</v>
      </c>
      <c r="G547" s="30" t="s">
        <v>297</v>
      </c>
      <c r="H547" s="14">
        <f t="shared" si="16"/>
        <v>54.9</v>
      </c>
      <c r="I547" s="14">
        <f t="shared" si="17"/>
        <v>54.9</v>
      </c>
    </row>
    <row r="548" spans="2:9" ht="13.2">
      <c r="B548" t="s">
        <v>458</v>
      </c>
      <c r="C548" s="9" t="s">
        <v>8</v>
      </c>
      <c r="D548" s="20">
        <v>2019</v>
      </c>
      <c r="E548" s="9" t="s">
        <v>47</v>
      </c>
      <c r="F548" s="9" t="s">
        <v>474</v>
      </c>
      <c r="G548" s="30" t="s">
        <v>297</v>
      </c>
      <c r="H548" s="14">
        <f t="shared" si="16"/>
        <v>54.9</v>
      </c>
      <c r="I548" s="14">
        <f t="shared" si="17"/>
        <v>54.9</v>
      </c>
    </row>
    <row r="549" spans="2:9" ht="13.2">
      <c r="B549" t="s">
        <v>458</v>
      </c>
      <c r="C549" s="9" t="s">
        <v>8</v>
      </c>
      <c r="D549" s="20">
        <v>2020</v>
      </c>
      <c r="E549" s="9" t="s">
        <v>47</v>
      </c>
      <c r="F549" s="9" t="s">
        <v>474</v>
      </c>
      <c r="G549" s="30" t="s">
        <v>297</v>
      </c>
      <c r="H549" s="14">
        <f t="shared" si="16"/>
        <v>54.9</v>
      </c>
      <c r="I549" s="14">
        <f t="shared" si="17"/>
        <v>54.9</v>
      </c>
    </row>
    <row r="550" spans="2:9" ht="13.2">
      <c r="B550" t="s">
        <v>458</v>
      </c>
      <c r="C550" s="9" t="s">
        <v>8</v>
      </c>
      <c r="D550" s="20">
        <v>2021</v>
      </c>
      <c r="E550" s="9" t="s">
        <v>47</v>
      </c>
      <c r="F550" s="9" t="s">
        <v>474</v>
      </c>
      <c r="G550" s="30" t="s">
        <v>297</v>
      </c>
      <c r="H550" s="14">
        <f t="shared" ref="H550:H578" si="18">HLOOKUP(F550,FuelTax2,D550-2006,FALSE)</f>
        <v>54.9</v>
      </c>
      <c r="I550" s="14">
        <f t="shared" ref="I550:I579" si="19">H550</f>
        <v>54.9</v>
      </c>
    </row>
    <row r="551" spans="2:9" ht="13.2">
      <c r="B551" t="s">
        <v>458</v>
      </c>
      <c r="C551" s="9" t="s">
        <v>8</v>
      </c>
      <c r="D551" s="20">
        <v>2022</v>
      </c>
      <c r="E551" s="9" t="s">
        <v>47</v>
      </c>
      <c r="F551" s="9" t="s">
        <v>474</v>
      </c>
      <c r="G551" s="30" t="s">
        <v>297</v>
      </c>
      <c r="H551" s="14">
        <f t="shared" si="18"/>
        <v>54.9</v>
      </c>
      <c r="I551" s="14">
        <f t="shared" si="19"/>
        <v>54.9</v>
      </c>
    </row>
    <row r="552" spans="2:9" ht="13.2">
      <c r="B552" t="s">
        <v>458</v>
      </c>
      <c r="C552" s="9" t="s">
        <v>8</v>
      </c>
      <c r="D552" s="20">
        <v>2023</v>
      </c>
      <c r="E552" s="9" t="s">
        <v>47</v>
      </c>
      <c r="F552" s="9" t="s">
        <v>474</v>
      </c>
      <c r="G552" s="30" t="s">
        <v>297</v>
      </c>
      <c r="H552" s="14">
        <f t="shared" si="18"/>
        <v>54.9</v>
      </c>
      <c r="I552" s="14">
        <f t="shared" si="19"/>
        <v>54.9</v>
      </c>
    </row>
    <row r="553" spans="2:9" ht="13.2">
      <c r="B553" t="s">
        <v>458</v>
      </c>
      <c r="C553" s="9" t="s">
        <v>8</v>
      </c>
      <c r="D553" s="20">
        <v>2024</v>
      </c>
      <c r="E553" s="9" t="s">
        <v>47</v>
      </c>
      <c r="F553" s="9" t="s">
        <v>474</v>
      </c>
      <c r="G553" s="30" t="s">
        <v>297</v>
      </c>
      <c r="H553" s="14">
        <f t="shared" si="18"/>
        <v>54.9</v>
      </c>
      <c r="I553" s="14">
        <f t="shared" si="19"/>
        <v>54.9</v>
      </c>
    </row>
    <row r="554" spans="2:9" ht="13.2">
      <c r="B554" t="s">
        <v>458</v>
      </c>
      <c r="C554" s="9" t="s">
        <v>8</v>
      </c>
      <c r="D554" s="20">
        <v>2025</v>
      </c>
      <c r="E554" s="9" t="s">
        <v>47</v>
      </c>
      <c r="F554" s="9" t="s">
        <v>474</v>
      </c>
      <c r="G554" s="30" t="s">
        <v>297</v>
      </c>
      <c r="H554" s="14">
        <f t="shared" si="18"/>
        <v>54.9</v>
      </c>
      <c r="I554" s="14">
        <f t="shared" si="19"/>
        <v>54.9</v>
      </c>
    </row>
    <row r="555" spans="2:9" ht="13.2">
      <c r="B555" t="s">
        <v>458</v>
      </c>
      <c r="C555" s="9" t="s">
        <v>8</v>
      </c>
      <c r="D555" s="20">
        <v>2026</v>
      </c>
      <c r="E555" s="9" t="s">
        <v>47</v>
      </c>
      <c r="F555" s="9" t="s">
        <v>474</v>
      </c>
      <c r="G555" s="30" t="s">
        <v>297</v>
      </c>
      <c r="H555" s="14">
        <f t="shared" si="18"/>
        <v>54.9</v>
      </c>
      <c r="I555" s="14">
        <f t="shared" si="19"/>
        <v>54.9</v>
      </c>
    </row>
    <row r="556" spans="2:9" ht="13.2">
      <c r="B556" t="s">
        <v>458</v>
      </c>
      <c r="C556" s="9" t="s">
        <v>8</v>
      </c>
      <c r="D556" s="20">
        <v>2027</v>
      </c>
      <c r="E556" s="9" t="s">
        <v>47</v>
      </c>
      <c r="F556" s="9" t="s">
        <v>474</v>
      </c>
      <c r="G556" s="30" t="s">
        <v>297</v>
      </c>
      <c r="H556" s="14">
        <f t="shared" si="18"/>
        <v>54.9</v>
      </c>
      <c r="I556" s="14">
        <f t="shared" si="19"/>
        <v>54.9</v>
      </c>
    </row>
    <row r="557" spans="2:9" ht="13.2">
      <c r="B557" t="s">
        <v>458</v>
      </c>
      <c r="C557" s="9" t="s">
        <v>8</v>
      </c>
      <c r="D557" s="20">
        <v>2028</v>
      </c>
      <c r="E557" s="9" t="s">
        <v>47</v>
      </c>
      <c r="F557" s="9" t="s">
        <v>474</v>
      </c>
      <c r="G557" s="30" t="s">
        <v>297</v>
      </c>
      <c r="H557" s="14">
        <f t="shared" si="18"/>
        <v>54.9</v>
      </c>
      <c r="I557" s="14">
        <f t="shared" si="19"/>
        <v>54.9</v>
      </c>
    </row>
    <row r="558" spans="2:9" ht="13.2">
      <c r="B558" t="s">
        <v>458</v>
      </c>
      <c r="C558" s="9" t="s">
        <v>8</v>
      </c>
      <c r="D558" s="20">
        <v>2029</v>
      </c>
      <c r="E558" s="9" t="s">
        <v>47</v>
      </c>
      <c r="F558" s="9" t="s">
        <v>474</v>
      </c>
      <c r="G558" s="30" t="s">
        <v>297</v>
      </c>
      <c r="H558" s="14">
        <f t="shared" si="18"/>
        <v>54.9</v>
      </c>
      <c r="I558" s="14">
        <f t="shared" si="19"/>
        <v>54.9</v>
      </c>
    </row>
    <row r="559" spans="2:9" ht="13.2">
      <c r="B559" t="s">
        <v>458</v>
      </c>
      <c r="C559" s="9" t="s">
        <v>8</v>
      </c>
      <c r="D559" s="20">
        <v>2030</v>
      </c>
      <c r="E559" s="9" t="s">
        <v>47</v>
      </c>
      <c r="F559" s="9" t="s">
        <v>474</v>
      </c>
      <c r="G559" s="30" t="s">
        <v>297</v>
      </c>
      <c r="H559" s="14">
        <f t="shared" si="18"/>
        <v>54.9</v>
      </c>
      <c r="I559" s="14">
        <f t="shared" si="19"/>
        <v>54.9</v>
      </c>
    </row>
    <row r="560" spans="2:9" ht="13.2">
      <c r="B560" t="s">
        <v>458</v>
      </c>
      <c r="C560" s="9" t="s">
        <v>8</v>
      </c>
      <c r="D560" s="20">
        <v>2031</v>
      </c>
      <c r="E560" s="9" t="s">
        <v>47</v>
      </c>
      <c r="F560" s="9" t="s">
        <v>474</v>
      </c>
      <c r="G560" s="30" t="s">
        <v>297</v>
      </c>
      <c r="H560" s="14">
        <f t="shared" si="18"/>
        <v>54.9</v>
      </c>
      <c r="I560" s="14">
        <f t="shared" si="19"/>
        <v>54.9</v>
      </c>
    </row>
    <row r="561" spans="2:9" ht="13.2">
      <c r="B561" t="s">
        <v>458</v>
      </c>
      <c r="C561" s="9" t="s">
        <v>8</v>
      </c>
      <c r="D561" s="20">
        <v>2032</v>
      </c>
      <c r="E561" s="9" t="s">
        <v>47</v>
      </c>
      <c r="F561" s="9" t="s">
        <v>474</v>
      </c>
      <c r="G561" s="30" t="s">
        <v>297</v>
      </c>
      <c r="H561" s="14">
        <f t="shared" si="18"/>
        <v>54.9</v>
      </c>
      <c r="I561" s="14">
        <f t="shared" si="19"/>
        <v>54.9</v>
      </c>
    </row>
    <row r="562" spans="2:9" ht="13.2">
      <c r="B562" t="s">
        <v>458</v>
      </c>
      <c r="C562" s="9" t="s">
        <v>8</v>
      </c>
      <c r="D562" s="20">
        <v>2033</v>
      </c>
      <c r="E562" s="9" t="s">
        <v>47</v>
      </c>
      <c r="F562" s="9" t="s">
        <v>474</v>
      </c>
      <c r="G562" s="30" t="s">
        <v>297</v>
      </c>
      <c r="H562" s="14">
        <f t="shared" si="18"/>
        <v>54.9</v>
      </c>
      <c r="I562" s="14">
        <f t="shared" si="19"/>
        <v>54.9</v>
      </c>
    </row>
    <row r="563" spans="2:9" ht="13.2">
      <c r="B563" t="s">
        <v>458</v>
      </c>
      <c r="C563" s="9" t="s">
        <v>8</v>
      </c>
      <c r="D563" s="20">
        <v>2034</v>
      </c>
      <c r="E563" s="9" t="s">
        <v>47</v>
      </c>
      <c r="F563" s="9" t="s">
        <v>474</v>
      </c>
      <c r="G563" s="30" t="s">
        <v>297</v>
      </c>
      <c r="H563" s="14">
        <f t="shared" si="18"/>
        <v>54.9</v>
      </c>
      <c r="I563" s="14">
        <f t="shared" si="19"/>
        <v>54.9</v>
      </c>
    </row>
    <row r="564" spans="2:9" ht="13.2">
      <c r="B564" t="s">
        <v>458</v>
      </c>
      <c r="C564" s="9" t="s">
        <v>8</v>
      </c>
      <c r="D564" s="20">
        <v>2035</v>
      </c>
      <c r="E564" s="9" t="s">
        <v>47</v>
      </c>
      <c r="F564" s="9" t="s">
        <v>474</v>
      </c>
      <c r="G564" s="30" t="s">
        <v>297</v>
      </c>
      <c r="H564" s="14">
        <f t="shared" si="18"/>
        <v>54.9</v>
      </c>
      <c r="I564" s="14">
        <f t="shared" si="19"/>
        <v>54.9</v>
      </c>
    </row>
    <row r="565" spans="2:9" ht="13.2">
      <c r="B565" t="s">
        <v>458</v>
      </c>
      <c r="C565" s="9" t="s">
        <v>8</v>
      </c>
      <c r="D565" s="20">
        <v>2036</v>
      </c>
      <c r="E565" s="9" t="s">
        <v>47</v>
      </c>
      <c r="F565" s="9" t="s">
        <v>474</v>
      </c>
      <c r="G565" s="30" t="s">
        <v>297</v>
      </c>
      <c r="H565" s="14">
        <f t="shared" si="18"/>
        <v>54.9</v>
      </c>
      <c r="I565" s="14">
        <f t="shared" si="19"/>
        <v>54.9</v>
      </c>
    </row>
    <row r="566" spans="2:9" ht="13.2">
      <c r="B566" t="s">
        <v>458</v>
      </c>
      <c r="C566" s="9" t="s">
        <v>8</v>
      </c>
      <c r="D566" s="20">
        <v>2037</v>
      </c>
      <c r="E566" s="9" t="s">
        <v>47</v>
      </c>
      <c r="F566" s="9" t="s">
        <v>474</v>
      </c>
      <c r="G566" s="30" t="s">
        <v>297</v>
      </c>
      <c r="H566" s="14">
        <f t="shared" si="18"/>
        <v>54.9</v>
      </c>
      <c r="I566" s="14">
        <f t="shared" si="19"/>
        <v>54.9</v>
      </c>
    </row>
    <row r="567" spans="2:9" ht="13.2">
      <c r="B567" t="s">
        <v>458</v>
      </c>
      <c r="C567" s="9" t="s">
        <v>8</v>
      </c>
      <c r="D567" s="20">
        <v>2038</v>
      </c>
      <c r="E567" s="9" t="s">
        <v>47</v>
      </c>
      <c r="F567" s="9" t="s">
        <v>474</v>
      </c>
      <c r="G567" s="30" t="s">
        <v>297</v>
      </c>
      <c r="H567" s="14">
        <f t="shared" si="18"/>
        <v>54.9</v>
      </c>
      <c r="I567" s="14">
        <f t="shared" si="19"/>
        <v>54.9</v>
      </c>
    </row>
    <row r="568" spans="2:9" ht="13.2">
      <c r="B568" t="s">
        <v>458</v>
      </c>
      <c r="C568" s="9" t="s">
        <v>8</v>
      </c>
      <c r="D568" s="20">
        <v>2039</v>
      </c>
      <c r="E568" s="9" t="s">
        <v>47</v>
      </c>
      <c r="F568" s="9" t="s">
        <v>474</v>
      </c>
      <c r="G568" s="30" t="s">
        <v>297</v>
      </c>
      <c r="H568" s="14">
        <f t="shared" si="18"/>
        <v>54.9</v>
      </c>
      <c r="I568" s="14">
        <f t="shared" si="19"/>
        <v>54.9</v>
      </c>
    </row>
    <row r="569" spans="2:9" ht="13.2">
      <c r="B569" t="s">
        <v>458</v>
      </c>
      <c r="C569" s="9" t="s">
        <v>8</v>
      </c>
      <c r="D569" s="20">
        <v>2040</v>
      </c>
      <c r="E569" s="9" t="s">
        <v>47</v>
      </c>
      <c r="F569" s="9" t="s">
        <v>474</v>
      </c>
      <c r="G569" s="30" t="s">
        <v>297</v>
      </c>
      <c r="H569" s="14">
        <f t="shared" si="18"/>
        <v>54.9</v>
      </c>
      <c r="I569" s="14">
        <f t="shared" si="19"/>
        <v>54.9</v>
      </c>
    </row>
    <row r="570" spans="2:9" ht="13.2">
      <c r="B570" t="s">
        <v>458</v>
      </c>
      <c r="C570" s="9" t="s">
        <v>8</v>
      </c>
      <c r="D570" s="20">
        <v>2041</v>
      </c>
      <c r="E570" s="9" t="s">
        <v>47</v>
      </c>
      <c r="F570" s="9" t="s">
        <v>474</v>
      </c>
      <c r="G570" s="30" t="s">
        <v>297</v>
      </c>
      <c r="H570" s="14">
        <f t="shared" si="18"/>
        <v>54.9</v>
      </c>
      <c r="I570" s="14">
        <f t="shared" si="19"/>
        <v>54.9</v>
      </c>
    </row>
    <row r="571" spans="2:9" ht="13.2">
      <c r="B571" t="s">
        <v>458</v>
      </c>
      <c r="C571" s="9" t="s">
        <v>8</v>
      </c>
      <c r="D571" s="20">
        <v>2042</v>
      </c>
      <c r="E571" s="9" t="s">
        <v>47</v>
      </c>
      <c r="F571" s="9" t="s">
        <v>474</v>
      </c>
      <c r="G571" s="30" t="s">
        <v>297</v>
      </c>
      <c r="H571" s="14">
        <f t="shared" si="18"/>
        <v>54.9</v>
      </c>
      <c r="I571" s="14">
        <f t="shared" si="19"/>
        <v>54.9</v>
      </c>
    </row>
    <row r="572" spans="2:9" ht="13.2">
      <c r="B572" t="s">
        <v>458</v>
      </c>
      <c r="C572" s="9" t="s">
        <v>8</v>
      </c>
      <c r="D572" s="20">
        <v>2043</v>
      </c>
      <c r="E572" s="9" t="s">
        <v>47</v>
      </c>
      <c r="F572" s="9" t="s">
        <v>474</v>
      </c>
      <c r="G572" s="30" t="s">
        <v>297</v>
      </c>
      <c r="H572" s="14">
        <f t="shared" si="18"/>
        <v>54.9</v>
      </c>
      <c r="I572" s="14">
        <f t="shared" si="19"/>
        <v>54.9</v>
      </c>
    </row>
    <row r="573" spans="2:9" ht="13.2">
      <c r="B573" t="s">
        <v>458</v>
      </c>
      <c r="C573" s="9" t="s">
        <v>8</v>
      </c>
      <c r="D573" s="20">
        <v>2044</v>
      </c>
      <c r="E573" s="9" t="s">
        <v>47</v>
      </c>
      <c r="F573" s="9" t="s">
        <v>474</v>
      </c>
      <c r="G573" s="30" t="s">
        <v>297</v>
      </c>
      <c r="H573" s="14">
        <f t="shared" si="18"/>
        <v>54.9</v>
      </c>
      <c r="I573" s="14">
        <f t="shared" si="19"/>
        <v>54.9</v>
      </c>
    </row>
    <row r="574" spans="2:9" ht="13.2">
      <c r="B574" t="s">
        <v>458</v>
      </c>
      <c r="C574" s="9" t="s">
        <v>8</v>
      </c>
      <c r="D574" s="20">
        <v>2045</v>
      </c>
      <c r="E574" s="9" t="s">
        <v>47</v>
      </c>
      <c r="F574" s="9" t="s">
        <v>474</v>
      </c>
      <c r="G574" s="30" t="s">
        <v>297</v>
      </c>
      <c r="H574" s="14">
        <f t="shared" si="18"/>
        <v>54.9</v>
      </c>
      <c r="I574" s="14">
        <f t="shared" si="19"/>
        <v>54.9</v>
      </c>
    </row>
    <row r="575" spans="2:9" ht="13.2">
      <c r="B575" t="s">
        <v>458</v>
      </c>
      <c r="C575" s="9" t="s">
        <v>8</v>
      </c>
      <c r="D575" s="20">
        <v>2046</v>
      </c>
      <c r="E575" s="9" t="s">
        <v>47</v>
      </c>
      <c r="F575" s="9" t="s">
        <v>474</v>
      </c>
      <c r="G575" s="30" t="s">
        <v>297</v>
      </c>
      <c r="H575" s="14">
        <f t="shared" si="18"/>
        <v>54.9</v>
      </c>
      <c r="I575" s="14">
        <f t="shared" si="19"/>
        <v>54.9</v>
      </c>
    </row>
    <row r="576" spans="2:9" ht="13.2">
      <c r="B576" t="s">
        <v>458</v>
      </c>
      <c r="C576" s="9" t="s">
        <v>8</v>
      </c>
      <c r="D576" s="20">
        <v>2047</v>
      </c>
      <c r="E576" s="9" t="s">
        <v>47</v>
      </c>
      <c r="F576" s="9" t="s">
        <v>474</v>
      </c>
      <c r="G576" s="30" t="s">
        <v>297</v>
      </c>
      <c r="H576" s="14">
        <f t="shared" si="18"/>
        <v>54.9</v>
      </c>
      <c r="I576" s="14">
        <f t="shared" si="19"/>
        <v>54.9</v>
      </c>
    </row>
    <row r="577" spans="2:9" ht="13.2">
      <c r="B577" t="s">
        <v>458</v>
      </c>
      <c r="C577" s="9" t="s">
        <v>8</v>
      </c>
      <c r="D577" s="20">
        <v>2048</v>
      </c>
      <c r="E577" s="9" t="s">
        <v>47</v>
      </c>
      <c r="F577" s="9" t="s">
        <v>474</v>
      </c>
      <c r="G577" s="30" t="s">
        <v>297</v>
      </c>
      <c r="H577" s="14">
        <f t="shared" si="18"/>
        <v>54.9</v>
      </c>
      <c r="I577" s="14">
        <f t="shared" si="19"/>
        <v>54.9</v>
      </c>
    </row>
    <row r="578" spans="2:9" ht="13.2">
      <c r="B578" t="s">
        <v>458</v>
      </c>
      <c r="C578" s="9" t="s">
        <v>8</v>
      </c>
      <c r="D578" s="20">
        <v>2049</v>
      </c>
      <c r="E578" s="9" t="s">
        <v>47</v>
      </c>
      <c r="F578" s="9" t="s">
        <v>474</v>
      </c>
      <c r="G578" s="30" t="s">
        <v>297</v>
      </c>
      <c r="H578" s="14">
        <f t="shared" si="18"/>
        <v>54.9</v>
      </c>
      <c r="I578" s="14">
        <f t="shared" si="19"/>
        <v>54.9</v>
      </c>
    </row>
    <row r="579" spans="2:9" ht="13.2">
      <c r="B579" t="s">
        <v>458</v>
      </c>
      <c r="C579" s="9" t="s">
        <v>8</v>
      </c>
      <c r="D579" s="20">
        <v>2050</v>
      </c>
      <c r="E579" s="9" t="s">
        <v>47</v>
      </c>
      <c r="F579" s="9" t="s">
        <v>474</v>
      </c>
      <c r="G579" s="30" t="s">
        <v>297</v>
      </c>
      <c r="H579" s="14">
        <f t="shared" ref="H579:H620" si="20">HLOOKUP(F579,FuelTax2,D579-2006,FALSE)</f>
        <v>54.9</v>
      </c>
      <c r="I579" s="14">
        <f t="shared" si="19"/>
        <v>54.9</v>
      </c>
    </row>
    <row r="580" spans="2:9" ht="13.2">
      <c r="B580" t="s">
        <v>458</v>
      </c>
      <c r="C580" s="9" t="s">
        <v>8</v>
      </c>
      <c r="D580" s="6">
        <v>2010</v>
      </c>
      <c r="E580" s="10" t="s">
        <v>493</v>
      </c>
      <c r="F580" s="10" t="s">
        <v>55</v>
      </c>
      <c r="G580" s="30" t="s">
        <v>297</v>
      </c>
      <c r="H580" s="14">
        <f t="shared" si="20"/>
        <v>157.33177307876053</v>
      </c>
      <c r="I580" s="14">
        <f t="shared" ref="I580" si="21">H580</f>
        <v>157.33177307876053</v>
      </c>
    </row>
    <row r="581" spans="2:9" ht="13.2">
      <c r="B581" t="s">
        <v>458</v>
      </c>
      <c r="C581" s="9" t="s">
        <v>8</v>
      </c>
      <c r="D581" s="6">
        <v>2011</v>
      </c>
      <c r="E581" s="10" t="s">
        <v>493</v>
      </c>
      <c r="F581" s="10" t="s">
        <v>55</v>
      </c>
      <c r="G581" s="30" t="s">
        <v>297</v>
      </c>
      <c r="H581" s="14">
        <f t="shared" si="20"/>
        <v>172.81957055706417</v>
      </c>
      <c r="I581" s="14">
        <f t="shared" ref="I581:I582" si="22">H581</f>
        <v>172.81957055706417</v>
      </c>
    </row>
    <row r="582" spans="2:9" ht="13.2">
      <c r="B582" t="s">
        <v>458</v>
      </c>
      <c r="C582" s="9" t="s">
        <v>8</v>
      </c>
      <c r="D582" s="6">
        <v>2012</v>
      </c>
      <c r="E582" s="10" t="s">
        <v>493</v>
      </c>
      <c r="F582" s="10" t="s">
        <v>55</v>
      </c>
      <c r="G582" s="30" t="s">
        <v>297</v>
      </c>
      <c r="H582" s="14">
        <f t="shared" si="20"/>
        <v>172.40168985848894</v>
      </c>
      <c r="I582" s="14">
        <f t="shared" si="22"/>
        <v>172.40168985848894</v>
      </c>
    </row>
    <row r="583" spans="2:9" ht="13.2">
      <c r="B583" t="s">
        <v>458</v>
      </c>
      <c r="C583" s="9" t="s">
        <v>8</v>
      </c>
      <c r="D583" s="6">
        <v>2013</v>
      </c>
      <c r="E583" s="10" t="s">
        <v>493</v>
      </c>
      <c r="F583" s="10" t="s">
        <v>55</v>
      </c>
      <c r="G583" s="30" t="s">
        <v>297</v>
      </c>
      <c r="H583" s="14">
        <f t="shared" si="20"/>
        <v>93.448696436694405</v>
      </c>
      <c r="I583" s="14">
        <f t="shared" ref="I583:I620" si="23">H583</f>
        <v>93.448696436694405</v>
      </c>
    </row>
    <row r="584" spans="2:9" ht="13.2">
      <c r="B584" t="s">
        <v>458</v>
      </c>
      <c r="C584" s="9" t="s">
        <v>8</v>
      </c>
      <c r="D584" s="6">
        <v>2014</v>
      </c>
      <c r="E584" s="10" t="s">
        <v>493</v>
      </c>
      <c r="F584" s="10" t="s">
        <v>55</v>
      </c>
      <c r="G584" s="30" t="s">
        <v>297</v>
      </c>
      <c r="H584" s="14">
        <f t="shared" si="20"/>
        <v>111.99705815795429</v>
      </c>
      <c r="I584" s="14">
        <f t="shared" si="23"/>
        <v>111.99705815795429</v>
      </c>
    </row>
    <row r="585" spans="2:9" ht="13.2">
      <c r="B585" t="s">
        <v>458</v>
      </c>
      <c r="C585" s="9" t="s">
        <v>8</v>
      </c>
      <c r="D585" s="6">
        <v>2015</v>
      </c>
      <c r="E585" s="10" t="s">
        <v>493</v>
      </c>
      <c r="F585" s="10" t="s">
        <v>55</v>
      </c>
      <c r="G585" s="30" t="s">
        <v>297</v>
      </c>
      <c r="H585" s="14">
        <f t="shared" si="20"/>
        <v>106.4</v>
      </c>
      <c r="I585" s="14">
        <f t="shared" si="23"/>
        <v>106.4</v>
      </c>
    </row>
    <row r="586" spans="2:9" ht="13.2">
      <c r="B586" t="s">
        <v>458</v>
      </c>
      <c r="C586" s="9" t="s">
        <v>8</v>
      </c>
      <c r="D586" s="6">
        <v>2016</v>
      </c>
      <c r="E586" s="10" t="s">
        <v>493</v>
      </c>
      <c r="F586" s="10" t="s">
        <v>55</v>
      </c>
      <c r="G586" s="30" t="s">
        <v>297</v>
      </c>
      <c r="H586" s="14">
        <f t="shared" si="20"/>
        <v>106.4</v>
      </c>
      <c r="I586" s="14">
        <f t="shared" si="23"/>
        <v>106.4</v>
      </c>
    </row>
    <row r="587" spans="2:9" ht="13.2">
      <c r="B587" t="s">
        <v>458</v>
      </c>
      <c r="C587" s="9" t="s">
        <v>8</v>
      </c>
      <c r="D587" s="6">
        <v>2017</v>
      </c>
      <c r="E587" s="10" t="s">
        <v>493</v>
      </c>
      <c r="F587" s="10" t="s">
        <v>55</v>
      </c>
      <c r="G587" s="30" t="s">
        <v>297</v>
      </c>
      <c r="H587" s="14">
        <f t="shared" si="20"/>
        <v>112.5</v>
      </c>
      <c r="I587" s="14">
        <f t="shared" si="23"/>
        <v>112.5</v>
      </c>
    </row>
    <row r="588" spans="2:9" ht="13.2">
      <c r="B588" t="s">
        <v>458</v>
      </c>
      <c r="C588" s="9" t="s">
        <v>8</v>
      </c>
      <c r="D588" s="6">
        <v>2018</v>
      </c>
      <c r="E588" s="10" t="s">
        <v>493</v>
      </c>
      <c r="F588" s="10" t="s">
        <v>55</v>
      </c>
      <c r="G588" s="30" t="s">
        <v>297</v>
      </c>
      <c r="H588" s="14">
        <f t="shared" si="20"/>
        <v>70.833333333333329</v>
      </c>
      <c r="I588" s="14">
        <f t="shared" si="23"/>
        <v>70.833333333333329</v>
      </c>
    </row>
    <row r="589" spans="2:9" ht="13.2">
      <c r="B589" t="s">
        <v>458</v>
      </c>
      <c r="C589" s="9" t="s">
        <v>8</v>
      </c>
      <c r="D589" s="6">
        <v>2019</v>
      </c>
      <c r="E589" s="10" t="s">
        <v>493</v>
      </c>
      <c r="F589" s="10" t="s">
        <v>55</v>
      </c>
      <c r="G589" s="30" t="s">
        <v>297</v>
      </c>
      <c r="H589" s="14">
        <f t="shared" si="20"/>
        <v>70.833333333333329</v>
      </c>
      <c r="I589" s="14">
        <f t="shared" si="23"/>
        <v>70.833333333333329</v>
      </c>
    </row>
    <row r="590" spans="2:9" ht="13.2">
      <c r="B590" t="s">
        <v>458</v>
      </c>
      <c r="C590" s="9" t="s">
        <v>8</v>
      </c>
      <c r="D590" s="6">
        <v>2020</v>
      </c>
      <c r="E590" s="10" t="s">
        <v>493</v>
      </c>
      <c r="F590" s="10" t="s">
        <v>55</v>
      </c>
      <c r="G590" s="30" t="s">
        <v>297</v>
      </c>
      <c r="H590" s="14">
        <f t="shared" si="20"/>
        <v>43.055555555555557</v>
      </c>
      <c r="I590" s="14">
        <f t="shared" si="23"/>
        <v>43.055555555555557</v>
      </c>
    </row>
    <row r="591" spans="2:9" ht="13.2">
      <c r="B591" t="s">
        <v>458</v>
      </c>
      <c r="C591" s="9" t="s">
        <v>8</v>
      </c>
      <c r="D591" s="6">
        <v>2021</v>
      </c>
      <c r="E591" s="10" t="s">
        <v>493</v>
      </c>
      <c r="F591" s="10" t="s">
        <v>55</v>
      </c>
      <c r="G591" s="30" t="s">
        <v>297</v>
      </c>
      <c r="H591" s="14">
        <f t="shared" si="20"/>
        <v>41.666666666666671</v>
      </c>
      <c r="I591" s="14">
        <f t="shared" si="23"/>
        <v>41.666666666666671</v>
      </c>
    </row>
    <row r="592" spans="2:9" ht="13.2">
      <c r="B592" t="s">
        <v>458</v>
      </c>
      <c r="C592" s="9" t="s">
        <v>8</v>
      </c>
      <c r="D592" s="6">
        <v>2022</v>
      </c>
      <c r="E592" s="10" t="s">
        <v>493</v>
      </c>
      <c r="F592" s="10" t="s">
        <v>55</v>
      </c>
      <c r="G592" s="30" t="s">
        <v>297</v>
      </c>
      <c r="H592" s="14">
        <f t="shared" si="20"/>
        <v>41.666666666666671</v>
      </c>
      <c r="I592" s="14">
        <f t="shared" si="23"/>
        <v>41.666666666666671</v>
      </c>
    </row>
    <row r="593" spans="2:9" ht="13.2">
      <c r="B593" t="s">
        <v>458</v>
      </c>
      <c r="C593" s="9" t="s">
        <v>8</v>
      </c>
      <c r="D593" s="6">
        <v>2023</v>
      </c>
      <c r="E593" s="10" t="s">
        <v>493</v>
      </c>
      <c r="F593" s="10" t="s">
        <v>55</v>
      </c>
      <c r="G593" s="30" t="s">
        <v>297</v>
      </c>
      <c r="H593" s="14">
        <f t="shared" si="20"/>
        <v>41.666666666666671</v>
      </c>
      <c r="I593" s="14">
        <f t="shared" si="23"/>
        <v>41.666666666666671</v>
      </c>
    </row>
    <row r="594" spans="2:9" ht="13.2">
      <c r="B594" t="s">
        <v>458</v>
      </c>
      <c r="C594" s="9" t="s">
        <v>8</v>
      </c>
      <c r="D594" s="6">
        <v>2024</v>
      </c>
      <c r="E594" s="10" t="s">
        <v>493</v>
      </c>
      <c r="F594" s="10" t="s">
        <v>55</v>
      </c>
      <c r="G594" s="30" t="s">
        <v>297</v>
      </c>
      <c r="H594" s="14">
        <f t="shared" si="20"/>
        <v>41.666666666666671</v>
      </c>
      <c r="I594" s="14">
        <f t="shared" si="23"/>
        <v>41.666666666666671</v>
      </c>
    </row>
    <row r="595" spans="2:9" ht="13.2">
      <c r="B595" t="s">
        <v>458</v>
      </c>
      <c r="C595" s="9" t="s">
        <v>8</v>
      </c>
      <c r="D595" s="6">
        <v>2025</v>
      </c>
      <c r="E595" s="10" t="s">
        <v>493</v>
      </c>
      <c r="F595" s="10" t="s">
        <v>55</v>
      </c>
      <c r="G595" s="30" t="s">
        <v>297</v>
      </c>
      <c r="H595" s="14">
        <f t="shared" si="20"/>
        <v>41.666666666666671</v>
      </c>
      <c r="I595" s="14">
        <f t="shared" si="23"/>
        <v>41.666666666666671</v>
      </c>
    </row>
    <row r="596" spans="2:9" ht="13.2">
      <c r="B596" t="s">
        <v>458</v>
      </c>
      <c r="C596" s="9" t="s">
        <v>8</v>
      </c>
      <c r="D596" s="6">
        <v>2026</v>
      </c>
      <c r="E596" s="10" t="s">
        <v>493</v>
      </c>
      <c r="F596" s="10" t="s">
        <v>55</v>
      </c>
      <c r="G596" s="30" t="s">
        <v>297</v>
      </c>
      <c r="H596" s="14">
        <f t="shared" si="20"/>
        <v>41.666666666666671</v>
      </c>
      <c r="I596" s="14">
        <f t="shared" si="23"/>
        <v>41.666666666666671</v>
      </c>
    </row>
    <row r="597" spans="2:9" ht="13.2">
      <c r="B597" t="s">
        <v>458</v>
      </c>
      <c r="C597" s="9" t="s">
        <v>8</v>
      </c>
      <c r="D597" s="6">
        <v>2027</v>
      </c>
      <c r="E597" s="10" t="s">
        <v>493</v>
      </c>
      <c r="F597" s="10" t="s">
        <v>55</v>
      </c>
      <c r="G597" s="30" t="s">
        <v>297</v>
      </c>
      <c r="H597" s="14">
        <f t="shared" si="20"/>
        <v>41.666666666666671</v>
      </c>
      <c r="I597" s="14">
        <f t="shared" si="23"/>
        <v>41.666666666666671</v>
      </c>
    </row>
    <row r="598" spans="2:9" ht="13.2">
      <c r="B598" t="s">
        <v>458</v>
      </c>
      <c r="C598" s="9" t="s">
        <v>8</v>
      </c>
      <c r="D598" s="6">
        <v>2028</v>
      </c>
      <c r="E598" s="10" t="s">
        <v>493</v>
      </c>
      <c r="F598" s="10" t="s">
        <v>55</v>
      </c>
      <c r="G598" s="30" t="s">
        <v>297</v>
      </c>
      <c r="H598" s="14">
        <f t="shared" si="20"/>
        <v>41.666666666666671</v>
      </c>
      <c r="I598" s="14">
        <f t="shared" si="23"/>
        <v>41.666666666666671</v>
      </c>
    </row>
    <row r="599" spans="2:9" ht="13.2">
      <c r="B599" t="s">
        <v>458</v>
      </c>
      <c r="C599" s="9" t="s">
        <v>8</v>
      </c>
      <c r="D599" s="6">
        <v>2029</v>
      </c>
      <c r="E599" s="10" t="s">
        <v>493</v>
      </c>
      <c r="F599" s="10" t="s">
        <v>55</v>
      </c>
      <c r="G599" s="30" t="s">
        <v>297</v>
      </c>
      <c r="H599" s="14">
        <f t="shared" si="20"/>
        <v>41.666666666666671</v>
      </c>
      <c r="I599" s="14">
        <f t="shared" si="23"/>
        <v>41.666666666666671</v>
      </c>
    </row>
    <row r="600" spans="2:9" ht="13.2">
      <c r="B600" t="s">
        <v>458</v>
      </c>
      <c r="C600" s="9" t="s">
        <v>8</v>
      </c>
      <c r="D600" s="6">
        <v>2030</v>
      </c>
      <c r="E600" s="10" t="s">
        <v>493</v>
      </c>
      <c r="F600" s="10" t="s">
        <v>55</v>
      </c>
      <c r="G600" s="30" t="s">
        <v>297</v>
      </c>
      <c r="H600" s="14">
        <f t="shared" si="20"/>
        <v>41.666666666666671</v>
      </c>
      <c r="I600" s="14">
        <f t="shared" si="23"/>
        <v>41.666666666666671</v>
      </c>
    </row>
    <row r="601" spans="2:9" ht="13.2">
      <c r="B601" t="s">
        <v>458</v>
      </c>
      <c r="C601" s="9" t="s">
        <v>8</v>
      </c>
      <c r="D601" s="6">
        <v>2031</v>
      </c>
      <c r="E601" s="10" t="s">
        <v>493</v>
      </c>
      <c r="F601" s="10" t="s">
        <v>55</v>
      </c>
      <c r="G601" s="30" t="s">
        <v>297</v>
      </c>
      <c r="H601" s="14">
        <f t="shared" si="20"/>
        <v>41.666666666666671</v>
      </c>
      <c r="I601" s="14">
        <f t="shared" si="23"/>
        <v>41.666666666666671</v>
      </c>
    </row>
    <row r="602" spans="2:9" ht="13.2">
      <c r="B602" t="s">
        <v>458</v>
      </c>
      <c r="C602" s="9" t="s">
        <v>8</v>
      </c>
      <c r="D602" s="6">
        <v>2032</v>
      </c>
      <c r="E602" s="10" t="s">
        <v>493</v>
      </c>
      <c r="F602" s="10" t="s">
        <v>55</v>
      </c>
      <c r="G602" s="30" t="s">
        <v>297</v>
      </c>
      <c r="H602" s="14">
        <f t="shared" si="20"/>
        <v>41.666666666666671</v>
      </c>
      <c r="I602" s="14">
        <f t="shared" si="23"/>
        <v>41.666666666666671</v>
      </c>
    </row>
    <row r="603" spans="2:9" ht="13.2">
      <c r="B603" t="s">
        <v>458</v>
      </c>
      <c r="C603" s="9" t="s">
        <v>8</v>
      </c>
      <c r="D603" s="6">
        <v>2033</v>
      </c>
      <c r="E603" s="10" t="s">
        <v>493</v>
      </c>
      <c r="F603" s="10" t="s">
        <v>55</v>
      </c>
      <c r="G603" s="30" t="s">
        <v>297</v>
      </c>
      <c r="H603" s="14">
        <f t="shared" si="20"/>
        <v>41.666666666666671</v>
      </c>
      <c r="I603" s="14">
        <f t="shared" si="23"/>
        <v>41.666666666666671</v>
      </c>
    </row>
    <row r="604" spans="2:9" ht="13.2">
      <c r="B604" t="s">
        <v>458</v>
      </c>
      <c r="C604" s="9" t="s">
        <v>8</v>
      </c>
      <c r="D604" s="6">
        <v>2034</v>
      </c>
      <c r="E604" s="10" t="s">
        <v>493</v>
      </c>
      <c r="F604" s="10" t="s">
        <v>55</v>
      </c>
      <c r="G604" s="30" t="s">
        <v>297</v>
      </c>
      <c r="H604" s="14">
        <f t="shared" si="20"/>
        <v>41.666666666666671</v>
      </c>
      <c r="I604" s="14">
        <f t="shared" si="23"/>
        <v>41.666666666666671</v>
      </c>
    </row>
    <row r="605" spans="2:9" ht="13.2">
      <c r="B605" t="s">
        <v>458</v>
      </c>
      <c r="C605" s="9" t="s">
        <v>8</v>
      </c>
      <c r="D605" s="6">
        <v>2035</v>
      </c>
      <c r="E605" s="10" t="s">
        <v>493</v>
      </c>
      <c r="F605" s="10" t="s">
        <v>55</v>
      </c>
      <c r="G605" s="30" t="s">
        <v>297</v>
      </c>
      <c r="H605" s="14">
        <f t="shared" si="20"/>
        <v>41.666666666666671</v>
      </c>
      <c r="I605" s="14">
        <f t="shared" si="23"/>
        <v>41.666666666666671</v>
      </c>
    </row>
    <row r="606" spans="2:9" ht="13.2">
      <c r="B606" t="s">
        <v>458</v>
      </c>
      <c r="C606" s="9" t="s">
        <v>8</v>
      </c>
      <c r="D606" s="6">
        <v>2036</v>
      </c>
      <c r="E606" s="10" t="s">
        <v>493</v>
      </c>
      <c r="F606" s="10" t="s">
        <v>55</v>
      </c>
      <c r="G606" s="30" t="s">
        <v>297</v>
      </c>
      <c r="H606" s="14">
        <f t="shared" si="20"/>
        <v>41.666666666666671</v>
      </c>
      <c r="I606" s="14">
        <f t="shared" si="23"/>
        <v>41.666666666666671</v>
      </c>
    </row>
    <row r="607" spans="2:9" ht="13.2">
      <c r="B607" t="s">
        <v>458</v>
      </c>
      <c r="C607" s="9" t="s">
        <v>8</v>
      </c>
      <c r="D607" s="6">
        <v>2037</v>
      </c>
      <c r="E607" s="10" t="s">
        <v>493</v>
      </c>
      <c r="F607" s="10" t="s">
        <v>55</v>
      </c>
      <c r="G607" s="30" t="s">
        <v>297</v>
      </c>
      <c r="H607" s="14">
        <f t="shared" si="20"/>
        <v>41.666666666666671</v>
      </c>
      <c r="I607" s="14">
        <f t="shared" si="23"/>
        <v>41.666666666666671</v>
      </c>
    </row>
    <row r="608" spans="2:9" ht="13.2">
      <c r="B608" t="s">
        <v>458</v>
      </c>
      <c r="C608" s="9" t="s">
        <v>8</v>
      </c>
      <c r="D608" s="6">
        <v>2038</v>
      </c>
      <c r="E608" s="10" t="s">
        <v>493</v>
      </c>
      <c r="F608" s="10" t="s">
        <v>55</v>
      </c>
      <c r="G608" s="30" t="s">
        <v>297</v>
      </c>
      <c r="H608" s="14">
        <f t="shared" si="20"/>
        <v>41.666666666666671</v>
      </c>
      <c r="I608" s="14">
        <f t="shared" si="23"/>
        <v>41.666666666666671</v>
      </c>
    </row>
    <row r="609" spans="2:9" ht="13.2">
      <c r="B609" t="s">
        <v>458</v>
      </c>
      <c r="C609" s="9" t="s">
        <v>8</v>
      </c>
      <c r="D609" s="6">
        <v>2039</v>
      </c>
      <c r="E609" s="10" t="s">
        <v>493</v>
      </c>
      <c r="F609" s="10" t="s">
        <v>55</v>
      </c>
      <c r="G609" s="30" t="s">
        <v>297</v>
      </c>
      <c r="H609" s="14">
        <f t="shared" si="20"/>
        <v>41.666666666666671</v>
      </c>
      <c r="I609" s="14">
        <f t="shared" si="23"/>
        <v>41.666666666666671</v>
      </c>
    </row>
    <row r="610" spans="2:9" ht="13.2">
      <c r="B610" t="s">
        <v>458</v>
      </c>
      <c r="C610" s="9" t="s">
        <v>8</v>
      </c>
      <c r="D610" s="6">
        <v>2040</v>
      </c>
      <c r="E610" s="10" t="s">
        <v>493</v>
      </c>
      <c r="F610" s="10" t="s">
        <v>55</v>
      </c>
      <c r="G610" s="30" t="s">
        <v>297</v>
      </c>
      <c r="H610" s="14">
        <f t="shared" si="20"/>
        <v>41.666666666666671</v>
      </c>
      <c r="I610" s="14">
        <f t="shared" si="23"/>
        <v>41.666666666666671</v>
      </c>
    </row>
    <row r="611" spans="2:9" ht="13.2">
      <c r="B611" t="s">
        <v>458</v>
      </c>
      <c r="C611" s="9" t="s">
        <v>8</v>
      </c>
      <c r="D611" s="6">
        <v>2041</v>
      </c>
      <c r="E611" s="10" t="s">
        <v>493</v>
      </c>
      <c r="F611" s="10" t="s">
        <v>55</v>
      </c>
      <c r="G611" s="30" t="s">
        <v>297</v>
      </c>
      <c r="H611" s="14">
        <f t="shared" si="20"/>
        <v>41.666666666666671</v>
      </c>
      <c r="I611" s="14">
        <f t="shared" si="23"/>
        <v>41.666666666666671</v>
      </c>
    </row>
    <row r="612" spans="2:9" ht="13.2">
      <c r="B612" t="s">
        <v>458</v>
      </c>
      <c r="C612" s="9" t="s">
        <v>8</v>
      </c>
      <c r="D612" s="6">
        <v>2042</v>
      </c>
      <c r="E612" s="10" t="s">
        <v>493</v>
      </c>
      <c r="F612" s="10" t="s">
        <v>55</v>
      </c>
      <c r="G612" s="30" t="s">
        <v>297</v>
      </c>
      <c r="H612" s="14">
        <f t="shared" si="20"/>
        <v>41.666666666666671</v>
      </c>
      <c r="I612" s="14">
        <f t="shared" si="23"/>
        <v>41.666666666666671</v>
      </c>
    </row>
    <row r="613" spans="2:9" ht="13.2">
      <c r="B613" t="s">
        <v>458</v>
      </c>
      <c r="C613" s="9" t="s">
        <v>8</v>
      </c>
      <c r="D613" s="6">
        <v>2043</v>
      </c>
      <c r="E613" s="10" t="s">
        <v>493</v>
      </c>
      <c r="F613" s="10" t="s">
        <v>55</v>
      </c>
      <c r="G613" s="30" t="s">
        <v>297</v>
      </c>
      <c r="H613" s="14">
        <f t="shared" si="20"/>
        <v>41.666666666666671</v>
      </c>
      <c r="I613" s="14">
        <f t="shared" si="23"/>
        <v>41.666666666666671</v>
      </c>
    </row>
    <row r="614" spans="2:9" ht="13.2">
      <c r="B614" t="s">
        <v>458</v>
      </c>
      <c r="C614" s="9" t="s">
        <v>8</v>
      </c>
      <c r="D614" s="6">
        <v>2044</v>
      </c>
      <c r="E614" s="10" t="s">
        <v>493</v>
      </c>
      <c r="F614" s="10" t="s">
        <v>55</v>
      </c>
      <c r="G614" s="30" t="s">
        <v>297</v>
      </c>
      <c r="H614" s="14">
        <f t="shared" si="20"/>
        <v>41.666666666666671</v>
      </c>
      <c r="I614" s="14">
        <f t="shared" si="23"/>
        <v>41.666666666666671</v>
      </c>
    </row>
    <row r="615" spans="2:9" ht="13.2">
      <c r="B615" t="s">
        <v>458</v>
      </c>
      <c r="C615" s="9" t="s">
        <v>8</v>
      </c>
      <c r="D615" s="6">
        <v>2045</v>
      </c>
      <c r="E615" s="10" t="s">
        <v>493</v>
      </c>
      <c r="F615" s="10" t="s">
        <v>55</v>
      </c>
      <c r="G615" s="30" t="s">
        <v>297</v>
      </c>
      <c r="H615" s="14">
        <f t="shared" si="20"/>
        <v>41.666666666666671</v>
      </c>
      <c r="I615" s="14">
        <f t="shared" si="23"/>
        <v>41.666666666666671</v>
      </c>
    </row>
    <row r="616" spans="2:9" ht="13.2">
      <c r="B616" t="s">
        <v>458</v>
      </c>
      <c r="C616" s="9" t="s">
        <v>8</v>
      </c>
      <c r="D616" s="6">
        <v>2046</v>
      </c>
      <c r="E616" s="10" t="s">
        <v>493</v>
      </c>
      <c r="F616" s="10" t="s">
        <v>55</v>
      </c>
      <c r="G616" s="30" t="s">
        <v>297</v>
      </c>
      <c r="H616" s="14">
        <f t="shared" si="20"/>
        <v>41.666666666666671</v>
      </c>
      <c r="I616" s="14">
        <f t="shared" si="23"/>
        <v>41.666666666666671</v>
      </c>
    </row>
    <row r="617" spans="2:9" ht="13.2">
      <c r="B617" t="s">
        <v>458</v>
      </c>
      <c r="C617" s="9" t="s">
        <v>8</v>
      </c>
      <c r="D617" s="6">
        <v>2047</v>
      </c>
      <c r="E617" s="10" t="s">
        <v>493</v>
      </c>
      <c r="F617" s="10" t="s">
        <v>55</v>
      </c>
      <c r="G617" s="30" t="s">
        <v>297</v>
      </c>
      <c r="H617" s="14">
        <f t="shared" si="20"/>
        <v>41.666666666666671</v>
      </c>
      <c r="I617" s="14">
        <f t="shared" si="23"/>
        <v>41.666666666666671</v>
      </c>
    </row>
    <row r="618" spans="2:9" ht="13.2">
      <c r="B618" t="s">
        <v>458</v>
      </c>
      <c r="C618" s="9" t="s">
        <v>8</v>
      </c>
      <c r="D618" s="6">
        <v>2048</v>
      </c>
      <c r="E618" s="10" t="s">
        <v>493</v>
      </c>
      <c r="F618" s="10" t="s">
        <v>55</v>
      </c>
      <c r="G618" s="30" t="s">
        <v>297</v>
      </c>
      <c r="H618" s="14">
        <f t="shared" si="20"/>
        <v>41.666666666666671</v>
      </c>
      <c r="I618" s="14">
        <f t="shared" si="23"/>
        <v>41.666666666666671</v>
      </c>
    </row>
    <row r="619" spans="2:9" ht="13.2">
      <c r="B619" t="s">
        <v>458</v>
      </c>
      <c r="C619" s="9" t="s">
        <v>8</v>
      </c>
      <c r="D619" s="6">
        <v>2049</v>
      </c>
      <c r="E619" s="10" t="s">
        <v>493</v>
      </c>
      <c r="F619" s="10" t="s">
        <v>55</v>
      </c>
      <c r="G619" s="30" t="s">
        <v>297</v>
      </c>
      <c r="H619" s="14">
        <f t="shared" si="20"/>
        <v>41.666666666666671</v>
      </c>
      <c r="I619" s="14">
        <f t="shared" si="23"/>
        <v>41.666666666666671</v>
      </c>
    </row>
    <row r="620" spans="2:9" ht="13.2">
      <c r="B620" t="s">
        <v>458</v>
      </c>
      <c r="C620" s="9" t="s">
        <v>8</v>
      </c>
      <c r="D620" s="6">
        <v>2050</v>
      </c>
      <c r="E620" s="10" t="s">
        <v>493</v>
      </c>
      <c r="F620" s="10" t="s">
        <v>55</v>
      </c>
      <c r="G620" s="30" t="s">
        <v>297</v>
      </c>
      <c r="H620" s="14">
        <f t="shared" si="20"/>
        <v>41.666666666666671</v>
      </c>
      <c r="I620" s="14">
        <f t="shared" si="23"/>
        <v>41.666666666666671</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11">
    <tabColor rgb="FF92D050"/>
  </sheetPr>
  <dimension ref="B2:N594"/>
  <sheetViews>
    <sheetView workbookViewId="0">
      <selection activeCell="B9" sqref="B9"/>
    </sheetView>
  </sheetViews>
  <sheetFormatPr defaultColWidth="9.109375" defaultRowHeight="12.6"/>
  <cols>
    <col min="1" max="1" width="9.109375" style="9"/>
    <col min="2" max="5" width="13.44140625" style="9" customWidth="1"/>
    <col min="6" max="6" width="26.5546875" style="9" bestFit="1" customWidth="1"/>
    <col min="7" max="7" width="26.5546875" style="9" customWidth="1"/>
    <col min="8" max="8" width="10.6640625" style="9" bestFit="1" customWidth="1"/>
    <col min="9" max="11" width="10.6640625" style="9" customWidth="1"/>
    <col min="12" max="12" width="9.109375" style="9"/>
    <col min="13" max="14" width="25.44140625" style="9" customWidth="1"/>
    <col min="15" max="16384" width="9.109375" style="9"/>
  </cols>
  <sheetData>
    <row r="2" spans="2:11" ht="25.8">
      <c r="B2" s="11" t="s">
        <v>468</v>
      </c>
      <c r="C2"/>
      <c r="D2"/>
      <c r="E2"/>
      <c r="F2"/>
      <c r="G2"/>
      <c r="H2"/>
      <c r="I2"/>
      <c r="J2"/>
      <c r="K2"/>
    </row>
    <row r="3" spans="2:11">
      <c r="B3"/>
      <c r="C3"/>
      <c r="D3"/>
      <c r="E3"/>
      <c r="F3"/>
      <c r="G3"/>
      <c r="H3"/>
      <c r="I3"/>
      <c r="J3"/>
      <c r="K3"/>
    </row>
    <row r="4" spans="2:11" ht="22.8">
      <c r="B4" s="31" t="s">
        <v>66</v>
      </c>
      <c r="C4"/>
      <c r="D4"/>
      <c r="E4"/>
      <c r="F4"/>
      <c r="G4"/>
      <c r="H4"/>
      <c r="I4"/>
      <c r="J4"/>
      <c r="K4"/>
    </row>
    <row r="5" spans="2:11" ht="43.5" customHeight="1">
      <c r="B5" s="365" t="s">
        <v>76</v>
      </c>
      <c r="C5" s="365"/>
      <c r="D5" s="365"/>
      <c r="E5" s="365"/>
      <c r="F5" s="365"/>
      <c r="G5" s="365"/>
      <c r="H5" s="365"/>
      <c r="I5" s="274"/>
      <c r="J5"/>
      <c r="K5"/>
    </row>
    <row r="6" spans="2:11">
      <c r="B6" s="32"/>
      <c r="C6" s="32"/>
      <c r="D6" s="32"/>
      <c r="E6" s="32"/>
      <c r="F6" s="32"/>
      <c r="G6" s="32"/>
      <c r="H6" s="32"/>
      <c r="I6" s="32"/>
      <c r="J6"/>
      <c r="K6"/>
    </row>
    <row r="7" spans="2:11">
      <c r="B7" s="32"/>
      <c r="C7" s="32"/>
      <c r="D7" s="32"/>
      <c r="E7" s="32"/>
      <c r="F7" s="32"/>
      <c r="G7" s="32"/>
      <c r="H7" s="32"/>
      <c r="I7" s="32"/>
      <c r="J7"/>
      <c r="K7"/>
    </row>
    <row r="8" spans="2:11">
      <c r="B8" s="32" t="s">
        <v>75</v>
      </c>
      <c r="C8" s="32"/>
      <c r="D8" s="32"/>
      <c r="E8" s="32"/>
      <c r="F8" s="32"/>
      <c r="G8" s="32"/>
      <c r="H8" s="32"/>
      <c r="I8" s="32"/>
      <c r="J8"/>
      <c r="K8"/>
    </row>
    <row r="9" spans="2:11">
      <c r="B9" s="32"/>
      <c r="C9" s="32"/>
      <c r="D9" s="32"/>
      <c r="E9" s="32"/>
      <c r="F9" s="32"/>
      <c r="G9" s="32"/>
      <c r="H9" s="32"/>
      <c r="I9" s="32"/>
      <c r="J9"/>
      <c r="K9"/>
    </row>
    <row r="10" spans="2:11">
      <c r="B10" s="32"/>
      <c r="C10" s="33">
        <f>1/1.2</f>
        <v>0.83333333333333337</v>
      </c>
      <c r="D10" s="32"/>
      <c r="E10" s="32"/>
      <c r="F10" s="32"/>
      <c r="G10" s="32"/>
      <c r="H10" s="32"/>
      <c r="I10" s="32"/>
      <c r="J10"/>
      <c r="K10"/>
    </row>
    <row r="11" spans="2:11">
      <c r="B11" s="32"/>
      <c r="C11" s="32"/>
      <c r="D11" s="32"/>
      <c r="E11" s="32"/>
      <c r="F11" s="32"/>
      <c r="G11" s="32"/>
      <c r="H11" s="32"/>
      <c r="I11" s="32"/>
      <c r="J11"/>
      <c r="K11"/>
    </row>
    <row r="12" spans="2:11">
      <c r="B12" s="32"/>
      <c r="C12" s="32"/>
      <c r="D12" s="32"/>
      <c r="E12" s="32"/>
      <c r="F12" s="32"/>
      <c r="G12" s="32"/>
      <c r="H12" s="32"/>
      <c r="I12" s="32"/>
      <c r="J12"/>
      <c r="K12"/>
    </row>
    <row r="13" spans="2:11">
      <c r="B13" s="32"/>
      <c r="C13" s="32"/>
      <c r="D13" s="32"/>
      <c r="E13" s="32"/>
      <c r="F13" s="32"/>
      <c r="G13" s="32"/>
      <c r="H13" s="32"/>
      <c r="I13" s="32"/>
      <c r="J13"/>
      <c r="K13"/>
    </row>
    <row r="14" spans="2:11">
      <c r="B14" s="32"/>
      <c r="C14" s="32"/>
      <c r="D14" s="32"/>
      <c r="E14" s="32"/>
      <c r="F14" s="32"/>
      <c r="G14" s="32"/>
      <c r="H14" s="32"/>
      <c r="I14" s="32"/>
      <c r="J14"/>
      <c r="K14"/>
    </row>
    <row r="15" spans="2:11">
      <c r="B15" s="32"/>
      <c r="C15" s="32"/>
      <c r="D15" s="32"/>
      <c r="E15" s="32"/>
      <c r="F15" s="32"/>
      <c r="G15" s="32"/>
      <c r="H15" s="32"/>
      <c r="I15" s="32"/>
      <c r="J15"/>
      <c r="K15"/>
    </row>
    <row r="16" spans="2:11">
      <c r="B16" s="32"/>
      <c r="C16" s="32"/>
      <c r="D16" s="32"/>
      <c r="E16" s="32"/>
      <c r="F16" s="32"/>
      <c r="G16" s="32"/>
      <c r="H16" s="32"/>
      <c r="I16" s="32"/>
      <c r="J16"/>
      <c r="K16"/>
    </row>
    <row r="17" spans="2:14">
      <c r="B17"/>
      <c r="C17" s="13" t="s">
        <v>184</v>
      </c>
      <c r="D17" s="13"/>
      <c r="E17" s="13"/>
      <c r="F17" s="13"/>
      <c r="G17" s="13"/>
      <c r="H17"/>
      <c r="I17"/>
      <c r="J17"/>
      <c r="K17"/>
    </row>
    <row r="18" spans="2:14" ht="13.8">
      <c r="B18"/>
      <c r="C18"/>
      <c r="D18"/>
      <c r="E18" s="34"/>
      <c r="F18"/>
      <c r="G18"/>
      <c r="H18"/>
      <c r="I18"/>
      <c r="J18"/>
      <c r="K18"/>
    </row>
    <row r="19" spans="2:14" ht="14.4">
      <c r="B19" s="2" t="s">
        <v>459</v>
      </c>
      <c r="C19" s="1"/>
      <c r="D19" s="1"/>
      <c r="E19" s="1"/>
      <c r="F19" s="1"/>
      <c r="G19" s="1"/>
      <c r="H19" s="1"/>
      <c r="I19" s="1"/>
      <c r="J19"/>
      <c r="K19"/>
      <c r="M19" s="9" t="s">
        <v>74</v>
      </c>
    </row>
    <row r="20" spans="2:14" ht="13.8" thickBot="1">
      <c r="B20" s="3" t="s">
        <v>4</v>
      </c>
      <c r="C20" s="3" t="s">
        <v>5</v>
      </c>
      <c r="D20" s="3" t="s">
        <v>1</v>
      </c>
      <c r="E20" s="5" t="s">
        <v>7</v>
      </c>
      <c r="F20" s="45" t="s">
        <v>6</v>
      </c>
      <c r="G20" s="18" t="s">
        <v>43</v>
      </c>
      <c r="H20" s="4" t="s">
        <v>432</v>
      </c>
      <c r="I20" s="275" t="s">
        <v>433</v>
      </c>
      <c r="J20"/>
      <c r="K20" s="4" t="s">
        <v>150</v>
      </c>
      <c r="M20" s="9" t="s">
        <v>7</v>
      </c>
      <c r="N20" s="9" t="s">
        <v>6</v>
      </c>
    </row>
    <row r="21" spans="2:14" ht="13.2">
      <c r="B21" t="s">
        <v>458</v>
      </c>
      <c r="C21" t="s">
        <v>8</v>
      </c>
      <c r="D21" s="6">
        <v>2010</v>
      </c>
      <c r="E21" t="s">
        <v>494</v>
      </c>
      <c r="F21" s="12" t="s">
        <v>27</v>
      </c>
      <c r="G21" s="30" t="s">
        <v>297</v>
      </c>
      <c r="H21" s="14">
        <f>HLOOKUP(K21,FuelTax2,D21-2006,FALSE)*$C$10</f>
        <v>49.624462004108139</v>
      </c>
      <c r="I21" s="14">
        <f>H21</f>
        <v>49.624462004108139</v>
      </c>
      <c r="J21" s="14"/>
      <c r="K21" s="14" t="str">
        <f>"ELC"&amp;LEFT(RIGHT(E21,4),3)</f>
        <v>ELCCOA</v>
      </c>
      <c r="M21" s="9" t="s">
        <v>77</v>
      </c>
      <c r="N21" s="9" t="s">
        <v>27</v>
      </c>
    </row>
    <row r="22" spans="2:14" ht="13.2">
      <c r="B22" t="s">
        <v>458</v>
      </c>
      <c r="C22" t="s">
        <v>8</v>
      </c>
      <c r="D22" s="6">
        <v>2011</v>
      </c>
      <c r="E22" t="s">
        <v>494</v>
      </c>
      <c r="F22" s="9" t="s">
        <v>27</v>
      </c>
      <c r="G22" s="30" t="s">
        <v>297</v>
      </c>
      <c r="H22" s="14">
        <f t="shared" ref="H22:H84" si="0">HLOOKUP(K22,FuelTax2,D22-2006,FALSE)*$C$10</f>
        <v>49.312685279474998</v>
      </c>
      <c r="I22" s="14">
        <f t="shared" ref="I22:I85" si="1">H22</f>
        <v>49.312685279474998</v>
      </c>
      <c r="J22" s="14"/>
      <c r="K22" s="14" t="str">
        <f t="shared" ref="K22:K85" si="2">"ELC"&amp;LEFT(RIGHT(E22,4),3)</f>
        <v>ELCCOA</v>
      </c>
      <c r="M22" s="9" t="s">
        <v>82</v>
      </c>
      <c r="N22" s="9" t="s">
        <v>27</v>
      </c>
    </row>
    <row r="23" spans="2:14" ht="13.2">
      <c r="B23" t="s">
        <v>458</v>
      </c>
      <c r="C23" t="s">
        <v>8</v>
      </c>
      <c r="D23" s="6">
        <v>2012</v>
      </c>
      <c r="E23" t="s">
        <v>494</v>
      </c>
      <c r="F23" s="9" t="s">
        <v>27</v>
      </c>
      <c r="G23" s="30" t="s">
        <v>297</v>
      </c>
      <c r="H23" s="14">
        <f t="shared" si="0"/>
        <v>49.233944123049248</v>
      </c>
      <c r="I23" s="14">
        <f t="shared" si="1"/>
        <v>49.233944123049248</v>
      </c>
      <c r="J23" s="14"/>
      <c r="K23" s="14" t="str">
        <f t="shared" si="2"/>
        <v>ELCCOA</v>
      </c>
      <c r="M23" s="9" t="s">
        <v>78</v>
      </c>
      <c r="N23" s="9" t="s">
        <v>27</v>
      </c>
    </row>
    <row r="24" spans="2:14" ht="13.2">
      <c r="B24" t="s">
        <v>458</v>
      </c>
      <c r="C24" t="s">
        <v>8</v>
      </c>
      <c r="D24" s="6">
        <v>2013</v>
      </c>
      <c r="E24" t="s">
        <v>494</v>
      </c>
      <c r="F24" s="9" t="s">
        <v>27</v>
      </c>
      <c r="G24" s="30" t="s">
        <v>297</v>
      </c>
      <c r="H24" s="14">
        <f t="shared" si="0"/>
        <v>53.890575232480806</v>
      </c>
      <c r="I24" s="14">
        <f t="shared" si="1"/>
        <v>53.890575232480806</v>
      </c>
      <c r="J24" s="14"/>
      <c r="K24" s="14" t="str">
        <f t="shared" si="2"/>
        <v>ELCCOA</v>
      </c>
      <c r="M24" s="9" t="s">
        <v>79</v>
      </c>
      <c r="N24" s="9" t="s">
        <v>27</v>
      </c>
    </row>
    <row r="25" spans="2:14" ht="13.2">
      <c r="B25" t="s">
        <v>458</v>
      </c>
      <c r="C25" t="s">
        <v>8</v>
      </c>
      <c r="D25" s="6">
        <v>2014</v>
      </c>
      <c r="E25" t="s">
        <v>494</v>
      </c>
      <c r="F25" s="9" t="s">
        <v>27</v>
      </c>
      <c r="G25" s="30" t="s">
        <v>297</v>
      </c>
      <c r="H25" s="14">
        <f t="shared" si="0"/>
        <v>58.55380176510522</v>
      </c>
      <c r="I25" s="14">
        <f t="shared" si="1"/>
        <v>58.55380176510522</v>
      </c>
      <c r="J25" s="14"/>
      <c r="K25" s="14" t="str">
        <f t="shared" si="2"/>
        <v>ELCCOA</v>
      </c>
      <c r="M25" s="9" t="s">
        <v>80</v>
      </c>
      <c r="N25" s="9" t="s">
        <v>27</v>
      </c>
    </row>
    <row r="26" spans="2:14" ht="13.2">
      <c r="B26" t="s">
        <v>458</v>
      </c>
      <c r="C26" t="s">
        <v>8</v>
      </c>
      <c r="D26" s="6">
        <v>2015</v>
      </c>
      <c r="E26" t="s">
        <v>494</v>
      </c>
      <c r="F26" s="9" t="s">
        <v>27</v>
      </c>
      <c r="G26" s="30" t="s">
        <v>297</v>
      </c>
      <c r="H26" s="14">
        <f t="shared" si="0"/>
        <v>45.75</v>
      </c>
      <c r="I26" s="14">
        <f t="shared" si="1"/>
        <v>45.75</v>
      </c>
      <c r="J26" s="14"/>
      <c r="K26" s="14" t="str">
        <f t="shared" si="2"/>
        <v>ELCCOA</v>
      </c>
      <c r="M26" s="9" t="s">
        <v>81</v>
      </c>
      <c r="N26" s="9" t="s">
        <v>27</v>
      </c>
    </row>
    <row r="27" spans="2:14" ht="13.2">
      <c r="B27" t="s">
        <v>458</v>
      </c>
      <c r="C27" t="s">
        <v>8</v>
      </c>
      <c r="D27" s="6">
        <v>2016</v>
      </c>
      <c r="E27" t="s">
        <v>494</v>
      </c>
      <c r="F27" s="9" t="s">
        <v>27</v>
      </c>
      <c r="G27" s="30" t="s">
        <v>297</v>
      </c>
      <c r="H27" s="14">
        <f t="shared" si="0"/>
        <v>45.75</v>
      </c>
      <c r="I27" s="14">
        <f t="shared" si="1"/>
        <v>45.75</v>
      </c>
      <c r="J27" s="14"/>
      <c r="K27" s="14" t="str">
        <f t="shared" si="2"/>
        <v>ELCCOA</v>
      </c>
      <c r="M27" s="10" t="s">
        <v>162</v>
      </c>
      <c r="N27" s="9" t="s">
        <v>27</v>
      </c>
    </row>
    <row r="28" spans="2:14" ht="13.2">
      <c r="B28" t="s">
        <v>458</v>
      </c>
      <c r="C28" t="s">
        <v>8</v>
      </c>
      <c r="D28" s="6">
        <v>2017</v>
      </c>
      <c r="E28" t="s">
        <v>494</v>
      </c>
      <c r="F28" s="9" t="s">
        <v>27</v>
      </c>
      <c r="G28" s="30" t="s">
        <v>297</v>
      </c>
      <c r="H28" s="14">
        <f t="shared" si="0"/>
        <v>45.75</v>
      </c>
      <c r="I28" s="14">
        <f t="shared" si="1"/>
        <v>45.75</v>
      </c>
      <c r="J28" s="14"/>
      <c r="K28" s="14" t="str">
        <f t="shared" si="2"/>
        <v>ELCCOA</v>
      </c>
      <c r="M28" s="9" t="s">
        <v>73</v>
      </c>
    </row>
    <row r="29" spans="2:14" ht="13.2">
      <c r="B29" t="s">
        <v>458</v>
      </c>
      <c r="C29" t="s">
        <v>8</v>
      </c>
      <c r="D29" s="6">
        <v>2018</v>
      </c>
      <c r="E29" t="s">
        <v>494</v>
      </c>
      <c r="F29" s="9" t="s">
        <v>27</v>
      </c>
      <c r="G29" s="30" t="s">
        <v>297</v>
      </c>
      <c r="H29" s="14">
        <f t="shared" si="0"/>
        <v>45.75</v>
      </c>
      <c r="I29" s="14">
        <f t="shared" si="1"/>
        <v>45.75</v>
      </c>
      <c r="J29" s="14"/>
      <c r="K29" s="14" t="str">
        <f t="shared" si="2"/>
        <v>ELCCOA</v>
      </c>
    </row>
    <row r="30" spans="2:14" ht="13.2">
      <c r="B30" t="s">
        <v>458</v>
      </c>
      <c r="C30" t="s">
        <v>8</v>
      </c>
      <c r="D30" s="6">
        <v>2019</v>
      </c>
      <c r="E30" t="s">
        <v>494</v>
      </c>
      <c r="F30" s="9" t="s">
        <v>27</v>
      </c>
      <c r="G30" s="30" t="s">
        <v>297</v>
      </c>
      <c r="H30" s="14">
        <f t="shared" si="0"/>
        <v>45.75</v>
      </c>
      <c r="I30" s="14">
        <f t="shared" si="1"/>
        <v>45.75</v>
      </c>
      <c r="J30" s="14"/>
      <c r="K30" s="14" t="str">
        <f t="shared" si="2"/>
        <v>ELCCOA</v>
      </c>
    </row>
    <row r="31" spans="2:14" ht="13.2">
      <c r="B31" t="s">
        <v>458</v>
      </c>
      <c r="C31" t="s">
        <v>8</v>
      </c>
      <c r="D31" s="6">
        <v>2020</v>
      </c>
      <c r="E31" t="s">
        <v>494</v>
      </c>
      <c r="F31" s="9" t="s">
        <v>27</v>
      </c>
      <c r="G31" s="30" t="s">
        <v>297</v>
      </c>
      <c r="H31" s="14">
        <f t="shared" si="0"/>
        <v>45.75</v>
      </c>
      <c r="I31" s="14">
        <f t="shared" si="1"/>
        <v>45.75</v>
      </c>
      <c r="J31" s="14"/>
      <c r="K31" s="14" t="str">
        <f t="shared" si="2"/>
        <v>ELCCOA</v>
      </c>
    </row>
    <row r="32" spans="2:14" ht="13.2">
      <c r="B32" t="s">
        <v>458</v>
      </c>
      <c r="C32" t="s">
        <v>8</v>
      </c>
      <c r="D32" s="6">
        <v>2021</v>
      </c>
      <c r="E32" t="s">
        <v>494</v>
      </c>
      <c r="F32" s="9" t="s">
        <v>27</v>
      </c>
      <c r="G32" s="30" t="s">
        <v>297</v>
      </c>
      <c r="H32" s="14">
        <f t="shared" si="0"/>
        <v>45.75</v>
      </c>
      <c r="I32" s="14">
        <f t="shared" si="1"/>
        <v>45.75</v>
      </c>
      <c r="J32" s="14"/>
      <c r="K32" s="14" t="str">
        <f t="shared" si="2"/>
        <v>ELCCOA</v>
      </c>
    </row>
    <row r="33" spans="2:11" ht="13.2">
      <c r="B33" t="s">
        <v>458</v>
      </c>
      <c r="C33" t="s">
        <v>8</v>
      </c>
      <c r="D33" s="6">
        <v>2022</v>
      </c>
      <c r="E33" t="s">
        <v>494</v>
      </c>
      <c r="F33" s="9" t="s">
        <v>27</v>
      </c>
      <c r="G33" s="30" t="s">
        <v>297</v>
      </c>
      <c r="H33" s="14">
        <f t="shared" si="0"/>
        <v>45.75</v>
      </c>
      <c r="I33" s="14">
        <f t="shared" si="1"/>
        <v>45.75</v>
      </c>
      <c r="J33" s="14"/>
      <c r="K33" s="14" t="str">
        <f t="shared" si="2"/>
        <v>ELCCOA</v>
      </c>
    </row>
    <row r="34" spans="2:11" ht="13.2">
      <c r="B34" t="s">
        <v>458</v>
      </c>
      <c r="C34" t="s">
        <v>8</v>
      </c>
      <c r="D34" s="6">
        <v>2023</v>
      </c>
      <c r="E34" t="s">
        <v>494</v>
      </c>
      <c r="F34" s="9" t="s">
        <v>27</v>
      </c>
      <c r="G34" s="30" t="s">
        <v>297</v>
      </c>
      <c r="H34" s="14">
        <f t="shared" si="0"/>
        <v>45.75</v>
      </c>
      <c r="I34" s="14">
        <f t="shared" si="1"/>
        <v>45.75</v>
      </c>
      <c r="J34" s="14"/>
      <c r="K34" s="14" t="str">
        <f t="shared" si="2"/>
        <v>ELCCOA</v>
      </c>
    </row>
    <row r="35" spans="2:11" ht="13.2">
      <c r="B35" t="s">
        <v>458</v>
      </c>
      <c r="C35" t="s">
        <v>8</v>
      </c>
      <c r="D35" s="6">
        <v>2024</v>
      </c>
      <c r="E35" t="s">
        <v>494</v>
      </c>
      <c r="F35" s="9" t="s">
        <v>27</v>
      </c>
      <c r="G35" s="30" t="s">
        <v>297</v>
      </c>
      <c r="H35" s="14">
        <f t="shared" si="0"/>
        <v>45.75</v>
      </c>
      <c r="I35" s="14">
        <f t="shared" si="1"/>
        <v>45.75</v>
      </c>
      <c r="J35" s="14"/>
      <c r="K35" s="14" t="str">
        <f t="shared" si="2"/>
        <v>ELCCOA</v>
      </c>
    </row>
    <row r="36" spans="2:11" ht="13.2">
      <c r="B36" t="s">
        <v>458</v>
      </c>
      <c r="C36" t="s">
        <v>8</v>
      </c>
      <c r="D36" s="6">
        <v>2025</v>
      </c>
      <c r="E36" t="s">
        <v>494</v>
      </c>
      <c r="F36" s="9" t="s">
        <v>27</v>
      </c>
      <c r="G36" s="30" t="s">
        <v>297</v>
      </c>
      <c r="H36" s="14">
        <f t="shared" si="0"/>
        <v>45.75</v>
      </c>
      <c r="I36" s="14">
        <f t="shared" si="1"/>
        <v>45.75</v>
      </c>
      <c r="J36" s="14"/>
      <c r="K36" s="14" t="str">
        <f t="shared" si="2"/>
        <v>ELCCOA</v>
      </c>
    </row>
    <row r="37" spans="2:11" ht="13.2">
      <c r="B37" t="s">
        <v>458</v>
      </c>
      <c r="C37" t="s">
        <v>8</v>
      </c>
      <c r="D37" s="6">
        <v>2026</v>
      </c>
      <c r="E37" t="s">
        <v>494</v>
      </c>
      <c r="F37" s="9" t="s">
        <v>27</v>
      </c>
      <c r="G37" s="30" t="s">
        <v>297</v>
      </c>
      <c r="H37" s="14">
        <f t="shared" si="0"/>
        <v>45.75</v>
      </c>
      <c r="I37" s="14">
        <f t="shared" si="1"/>
        <v>45.75</v>
      </c>
      <c r="J37" s="14"/>
      <c r="K37" s="14" t="str">
        <f t="shared" si="2"/>
        <v>ELCCOA</v>
      </c>
    </row>
    <row r="38" spans="2:11" ht="13.2">
      <c r="B38" t="s">
        <v>458</v>
      </c>
      <c r="C38" t="s">
        <v>8</v>
      </c>
      <c r="D38" s="6">
        <v>2027</v>
      </c>
      <c r="E38" t="s">
        <v>494</v>
      </c>
      <c r="F38" s="9" t="s">
        <v>27</v>
      </c>
      <c r="G38" s="30" t="s">
        <v>297</v>
      </c>
      <c r="H38" s="14">
        <f t="shared" si="0"/>
        <v>45.75</v>
      </c>
      <c r="I38" s="14">
        <f t="shared" si="1"/>
        <v>45.75</v>
      </c>
      <c r="J38" s="14"/>
      <c r="K38" s="14" t="str">
        <f t="shared" si="2"/>
        <v>ELCCOA</v>
      </c>
    </row>
    <row r="39" spans="2:11" ht="13.2">
      <c r="B39" t="s">
        <v>458</v>
      </c>
      <c r="C39" t="s">
        <v>8</v>
      </c>
      <c r="D39" s="6">
        <v>2028</v>
      </c>
      <c r="E39" t="s">
        <v>494</v>
      </c>
      <c r="F39" s="9" t="s">
        <v>27</v>
      </c>
      <c r="G39" s="30" t="s">
        <v>297</v>
      </c>
      <c r="H39" s="14">
        <f t="shared" si="0"/>
        <v>45.75</v>
      </c>
      <c r="I39" s="14">
        <f t="shared" si="1"/>
        <v>45.75</v>
      </c>
      <c r="J39" s="14"/>
      <c r="K39" s="14" t="str">
        <f t="shared" si="2"/>
        <v>ELCCOA</v>
      </c>
    </row>
    <row r="40" spans="2:11" ht="13.2">
      <c r="B40" t="s">
        <v>458</v>
      </c>
      <c r="C40" t="s">
        <v>8</v>
      </c>
      <c r="D40" s="6">
        <v>2029</v>
      </c>
      <c r="E40" t="s">
        <v>494</v>
      </c>
      <c r="F40" s="9" t="s">
        <v>27</v>
      </c>
      <c r="G40" s="30" t="s">
        <v>297</v>
      </c>
      <c r="H40" s="14">
        <f t="shared" si="0"/>
        <v>45.75</v>
      </c>
      <c r="I40" s="14">
        <f t="shared" si="1"/>
        <v>45.75</v>
      </c>
      <c r="J40" s="14"/>
      <c r="K40" s="14" t="str">
        <f t="shared" si="2"/>
        <v>ELCCOA</v>
      </c>
    </row>
    <row r="41" spans="2:11" ht="13.2">
      <c r="B41" t="s">
        <v>458</v>
      </c>
      <c r="C41" t="s">
        <v>8</v>
      </c>
      <c r="D41" s="6">
        <v>2030</v>
      </c>
      <c r="E41" t="s">
        <v>494</v>
      </c>
      <c r="F41" s="9" t="s">
        <v>27</v>
      </c>
      <c r="G41" s="30" t="s">
        <v>297</v>
      </c>
      <c r="H41" s="14">
        <f t="shared" si="0"/>
        <v>45.75</v>
      </c>
      <c r="I41" s="14">
        <f t="shared" si="1"/>
        <v>45.75</v>
      </c>
      <c r="J41" s="14"/>
      <c r="K41" s="14" t="str">
        <f t="shared" si="2"/>
        <v>ELCCOA</v>
      </c>
    </row>
    <row r="42" spans="2:11" ht="13.2">
      <c r="B42" t="s">
        <v>458</v>
      </c>
      <c r="C42" t="s">
        <v>8</v>
      </c>
      <c r="D42" s="6">
        <v>2031</v>
      </c>
      <c r="E42" t="s">
        <v>494</v>
      </c>
      <c r="F42" s="9" t="s">
        <v>27</v>
      </c>
      <c r="G42" s="30" t="s">
        <v>297</v>
      </c>
      <c r="H42" s="14">
        <f t="shared" si="0"/>
        <v>45.75</v>
      </c>
      <c r="I42" s="14">
        <f t="shared" si="1"/>
        <v>45.75</v>
      </c>
      <c r="J42" s="14"/>
      <c r="K42" s="14" t="str">
        <f t="shared" si="2"/>
        <v>ELCCOA</v>
      </c>
    </row>
    <row r="43" spans="2:11" ht="13.2">
      <c r="B43" t="s">
        <v>458</v>
      </c>
      <c r="C43" t="s">
        <v>8</v>
      </c>
      <c r="D43" s="6">
        <v>2032</v>
      </c>
      <c r="E43" t="s">
        <v>494</v>
      </c>
      <c r="F43" s="9" t="s">
        <v>27</v>
      </c>
      <c r="G43" s="30" t="s">
        <v>297</v>
      </c>
      <c r="H43" s="14">
        <f t="shared" si="0"/>
        <v>45.75</v>
      </c>
      <c r="I43" s="14">
        <f t="shared" si="1"/>
        <v>45.75</v>
      </c>
      <c r="J43" s="14"/>
      <c r="K43" s="14" t="str">
        <f t="shared" si="2"/>
        <v>ELCCOA</v>
      </c>
    </row>
    <row r="44" spans="2:11" ht="13.2">
      <c r="B44" t="s">
        <v>458</v>
      </c>
      <c r="C44" t="s">
        <v>8</v>
      </c>
      <c r="D44" s="6">
        <v>2033</v>
      </c>
      <c r="E44" t="s">
        <v>494</v>
      </c>
      <c r="F44" s="9" t="s">
        <v>27</v>
      </c>
      <c r="G44" s="30" t="s">
        <v>297</v>
      </c>
      <c r="H44" s="14">
        <f t="shared" si="0"/>
        <v>45.75</v>
      </c>
      <c r="I44" s="14">
        <f t="shared" si="1"/>
        <v>45.75</v>
      </c>
      <c r="J44" s="14"/>
      <c r="K44" s="14" t="str">
        <f t="shared" si="2"/>
        <v>ELCCOA</v>
      </c>
    </row>
    <row r="45" spans="2:11" ht="13.2">
      <c r="B45" t="s">
        <v>458</v>
      </c>
      <c r="C45" t="s">
        <v>8</v>
      </c>
      <c r="D45" s="6">
        <v>2034</v>
      </c>
      <c r="E45" t="s">
        <v>494</v>
      </c>
      <c r="F45" s="9" t="s">
        <v>27</v>
      </c>
      <c r="G45" s="30" t="s">
        <v>297</v>
      </c>
      <c r="H45" s="14">
        <f t="shared" si="0"/>
        <v>45.75</v>
      </c>
      <c r="I45" s="14">
        <f t="shared" si="1"/>
        <v>45.75</v>
      </c>
      <c r="J45" s="14"/>
      <c r="K45" s="14" t="str">
        <f t="shared" si="2"/>
        <v>ELCCOA</v>
      </c>
    </row>
    <row r="46" spans="2:11" ht="13.2">
      <c r="B46" t="s">
        <v>458</v>
      </c>
      <c r="C46" t="s">
        <v>8</v>
      </c>
      <c r="D46" s="6">
        <v>2035</v>
      </c>
      <c r="E46" t="s">
        <v>494</v>
      </c>
      <c r="F46" s="9" t="s">
        <v>27</v>
      </c>
      <c r="G46" s="30" t="s">
        <v>297</v>
      </c>
      <c r="H46" s="14">
        <f t="shared" si="0"/>
        <v>45.75</v>
      </c>
      <c r="I46" s="14">
        <f t="shared" si="1"/>
        <v>45.75</v>
      </c>
      <c r="J46" s="14"/>
      <c r="K46" s="14" t="str">
        <f t="shared" si="2"/>
        <v>ELCCOA</v>
      </c>
    </row>
    <row r="47" spans="2:11" ht="13.2">
      <c r="B47" t="s">
        <v>458</v>
      </c>
      <c r="C47" t="s">
        <v>8</v>
      </c>
      <c r="D47" s="6">
        <v>2036</v>
      </c>
      <c r="E47" t="s">
        <v>494</v>
      </c>
      <c r="F47" s="9" t="s">
        <v>27</v>
      </c>
      <c r="G47" s="30" t="s">
        <v>297</v>
      </c>
      <c r="H47" s="14">
        <f t="shared" si="0"/>
        <v>45.75</v>
      </c>
      <c r="I47" s="14">
        <f t="shared" si="1"/>
        <v>45.75</v>
      </c>
      <c r="J47" s="14"/>
      <c r="K47" s="14" t="str">
        <f t="shared" si="2"/>
        <v>ELCCOA</v>
      </c>
    </row>
    <row r="48" spans="2:11" ht="13.2">
      <c r="B48" t="s">
        <v>458</v>
      </c>
      <c r="C48" t="s">
        <v>8</v>
      </c>
      <c r="D48" s="6">
        <v>2037</v>
      </c>
      <c r="E48" t="s">
        <v>494</v>
      </c>
      <c r="F48" s="9" t="s">
        <v>27</v>
      </c>
      <c r="G48" s="30" t="s">
        <v>297</v>
      </c>
      <c r="H48" s="14">
        <f t="shared" si="0"/>
        <v>45.75</v>
      </c>
      <c r="I48" s="14">
        <f t="shared" si="1"/>
        <v>45.75</v>
      </c>
      <c r="J48" s="14"/>
      <c r="K48" s="14" t="str">
        <f t="shared" si="2"/>
        <v>ELCCOA</v>
      </c>
    </row>
    <row r="49" spans="2:11" ht="13.2">
      <c r="B49" t="s">
        <v>458</v>
      </c>
      <c r="C49" t="s">
        <v>8</v>
      </c>
      <c r="D49" s="6">
        <v>2038</v>
      </c>
      <c r="E49" t="s">
        <v>494</v>
      </c>
      <c r="F49" s="9" t="s">
        <v>27</v>
      </c>
      <c r="G49" s="30" t="s">
        <v>297</v>
      </c>
      <c r="H49" s="14">
        <f t="shared" si="0"/>
        <v>45.75</v>
      </c>
      <c r="I49" s="14">
        <f t="shared" si="1"/>
        <v>45.75</v>
      </c>
      <c r="J49" s="14"/>
      <c r="K49" s="14" t="str">
        <f t="shared" si="2"/>
        <v>ELCCOA</v>
      </c>
    </row>
    <row r="50" spans="2:11" ht="13.2">
      <c r="B50" t="s">
        <v>458</v>
      </c>
      <c r="C50" t="s">
        <v>8</v>
      </c>
      <c r="D50" s="6">
        <v>2039</v>
      </c>
      <c r="E50" t="s">
        <v>494</v>
      </c>
      <c r="F50" s="9" t="s">
        <v>27</v>
      </c>
      <c r="G50" s="30" t="s">
        <v>297</v>
      </c>
      <c r="H50" s="14">
        <f t="shared" si="0"/>
        <v>45.75</v>
      </c>
      <c r="I50" s="14">
        <f t="shared" si="1"/>
        <v>45.75</v>
      </c>
      <c r="J50" s="14"/>
      <c r="K50" s="14" t="str">
        <f t="shared" si="2"/>
        <v>ELCCOA</v>
      </c>
    </row>
    <row r="51" spans="2:11" ht="13.2">
      <c r="B51" t="s">
        <v>458</v>
      </c>
      <c r="C51" t="s">
        <v>8</v>
      </c>
      <c r="D51" s="6">
        <v>2040</v>
      </c>
      <c r="E51" t="s">
        <v>494</v>
      </c>
      <c r="F51" s="9" t="s">
        <v>27</v>
      </c>
      <c r="G51" s="30" t="s">
        <v>297</v>
      </c>
      <c r="H51" s="14">
        <f t="shared" si="0"/>
        <v>45.75</v>
      </c>
      <c r="I51" s="14">
        <f t="shared" si="1"/>
        <v>45.75</v>
      </c>
      <c r="J51" s="14"/>
      <c r="K51" s="14" t="str">
        <f t="shared" si="2"/>
        <v>ELCCOA</v>
      </c>
    </row>
    <row r="52" spans="2:11" ht="13.2">
      <c r="B52" t="s">
        <v>458</v>
      </c>
      <c r="C52" t="s">
        <v>8</v>
      </c>
      <c r="D52" s="6">
        <v>2041</v>
      </c>
      <c r="E52" t="s">
        <v>494</v>
      </c>
      <c r="F52" s="9" t="s">
        <v>27</v>
      </c>
      <c r="G52" s="30" t="s">
        <v>297</v>
      </c>
      <c r="H52" s="14">
        <f t="shared" si="0"/>
        <v>45.75</v>
      </c>
      <c r="I52" s="14">
        <f t="shared" si="1"/>
        <v>45.75</v>
      </c>
      <c r="J52" s="14"/>
      <c r="K52" s="14" t="str">
        <f t="shared" si="2"/>
        <v>ELCCOA</v>
      </c>
    </row>
    <row r="53" spans="2:11" ht="13.2">
      <c r="B53" t="s">
        <v>458</v>
      </c>
      <c r="C53" t="s">
        <v>8</v>
      </c>
      <c r="D53" s="6">
        <v>2042</v>
      </c>
      <c r="E53" t="s">
        <v>494</v>
      </c>
      <c r="F53" s="9" t="s">
        <v>27</v>
      </c>
      <c r="G53" s="30" t="s">
        <v>297</v>
      </c>
      <c r="H53" s="14">
        <f t="shared" si="0"/>
        <v>45.75</v>
      </c>
      <c r="I53" s="14">
        <f t="shared" si="1"/>
        <v>45.75</v>
      </c>
      <c r="J53" s="14"/>
      <c r="K53" s="14" t="str">
        <f t="shared" si="2"/>
        <v>ELCCOA</v>
      </c>
    </row>
    <row r="54" spans="2:11" ht="13.2">
      <c r="B54" t="s">
        <v>458</v>
      </c>
      <c r="C54" t="s">
        <v>8</v>
      </c>
      <c r="D54" s="6">
        <v>2043</v>
      </c>
      <c r="E54" t="s">
        <v>494</v>
      </c>
      <c r="F54" s="9" t="s">
        <v>27</v>
      </c>
      <c r="G54" s="30" t="s">
        <v>297</v>
      </c>
      <c r="H54" s="14">
        <f t="shared" si="0"/>
        <v>45.75</v>
      </c>
      <c r="I54" s="14">
        <f t="shared" si="1"/>
        <v>45.75</v>
      </c>
      <c r="J54" s="14"/>
      <c r="K54" s="14" t="str">
        <f t="shared" si="2"/>
        <v>ELCCOA</v>
      </c>
    </row>
    <row r="55" spans="2:11" ht="13.2">
      <c r="B55" t="s">
        <v>458</v>
      </c>
      <c r="C55" t="s">
        <v>8</v>
      </c>
      <c r="D55" s="6">
        <v>2044</v>
      </c>
      <c r="E55" t="s">
        <v>494</v>
      </c>
      <c r="F55" s="9" t="s">
        <v>27</v>
      </c>
      <c r="G55" s="30" t="s">
        <v>297</v>
      </c>
      <c r="H55" s="14">
        <f t="shared" si="0"/>
        <v>45.75</v>
      </c>
      <c r="I55" s="14">
        <f t="shared" si="1"/>
        <v>45.75</v>
      </c>
      <c r="J55" s="14"/>
      <c r="K55" s="14" t="str">
        <f t="shared" si="2"/>
        <v>ELCCOA</v>
      </c>
    </row>
    <row r="56" spans="2:11" ht="13.2">
      <c r="B56" t="s">
        <v>458</v>
      </c>
      <c r="C56" t="s">
        <v>8</v>
      </c>
      <c r="D56" s="6">
        <v>2045</v>
      </c>
      <c r="E56" t="s">
        <v>494</v>
      </c>
      <c r="F56" s="9" t="s">
        <v>27</v>
      </c>
      <c r="G56" s="30" t="s">
        <v>297</v>
      </c>
      <c r="H56" s="14">
        <f t="shared" si="0"/>
        <v>45.75</v>
      </c>
      <c r="I56" s="14">
        <f t="shared" si="1"/>
        <v>45.75</v>
      </c>
      <c r="J56" s="14"/>
      <c r="K56" s="14" t="str">
        <f t="shared" si="2"/>
        <v>ELCCOA</v>
      </c>
    </row>
    <row r="57" spans="2:11" ht="13.2">
      <c r="B57" t="s">
        <v>458</v>
      </c>
      <c r="C57" t="s">
        <v>8</v>
      </c>
      <c r="D57" s="6">
        <v>2046</v>
      </c>
      <c r="E57" t="s">
        <v>494</v>
      </c>
      <c r="F57" s="9" t="s">
        <v>27</v>
      </c>
      <c r="G57" s="30" t="s">
        <v>297</v>
      </c>
      <c r="H57" s="14">
        <f t="shared" si="0"/>
        <v>45.75</v>
      </c>
      <c r="I57" s="14">
        <f t="shared" si="1"/>
        <v>45.75</v>
      </c>
      <c r="J57" s="14"/>
      <c r="K57" s="14" t="str">
        <f t="shared" si="2"/>
        <v>ELCCOA</v>
      </c>
    </row>
    <row r="58" spans="2:11" ht="13.2">
      <c r="B58" t="s">
        <v>458</v>
      </c>
      <c r="C58" t="s">
        <v>8</v>
      </c>
      <c r="D58" s="6">
        <v>2047</v>
      </c>
      <c r="E58" t="s">
        <v>494</v>
      </c>
      <c r="F58" s="9" t="s">
        <v>27</v>
      </c>
      <c r="G58" s="30" t="s">
        <v>297</v>
      </c>
      <c r="H58" s="14">
        <f t="shared" si="0"/>
        <v>45.75</v>
      </c>
      <c r="I58" s="14">
        <f t="shared" si="1"/>
        <v>45.75</v>
      </c>
      <c r="J58" s="14"/>
      <c r="K58" s="14" t="str">
        <f t="shared" si="2"/>
        <v>ELCCOA</v>
      </c>
    </row>
    <row r="59" spans="2:11" ht="13.2">
      <c r="B59" t="s">
        <v>458</v>
      </c>
      <c r="C59" t="s">
        <v>8</v>
      </c>
      <c r="D59" s="6">
        <v>2048</v>
      </c>
      <c r="E59" t="s">
        <v>494</v>
      </c>
      <c r="F59" s="9" t="s">
        <v>27</v>
      </c>
      <c r="G59" s="30" t="s">
        <v>297</v>
      </c>
      <c r="H59" s="14">
        <f t="shared" si="0"/>
        <v>45.75</v>
      </c>
      <c r="I59" s="14">
        <f t="shared" si="1"/>
        <v>45.75</v>
      </c>
      <c r="J59" s="14"/>
      <c r="K59" s="14" t="str">
        <f t="shared" si="2"/>
        <v>ELCCOA</v>
      </c>
    </row>
    <row r="60" spans="2:11" ht="13.2">
      <c r="B60" t="s">
        <v>458</v>
      </c>
      <c r="C60" t="s">
        <v>8</v>
      </c>
      <c r="D60" s="6">
        <v>2049</v>
      </c>
      <c r="E60" t="s">
        <v>494</v>
      </c>
      <c r="F60" s="9" t="s">
        <v>27</v>
      </c>
      <c r="G60" s="30" t="s">
        <v>297</v>
      </c>
      <c r="H60" s="14">
        <f t="shared" si="0"/>
        <v>45.75</v>
      </c>
      <c r="I60" s="14">
        <f t="shared" si="1"/>
        <v>45.75</v>
      </c>
      <c r="J60" s="14"/>
      <c r="K60" s="14" t="str">
        <f t="shared" si="2"/>
        <v>ELCCOA</v>
      </c>
    </row>
    <row r="61" spans="2:11" ht="13.2">
      <c r="B61" s="7" t="s">
        <v>458</v>
      </c>
      <c r="C61" s="7" t="s">
        <v>8</v>
      </c>
      <c r="D61" s="8">
        <v>2050</v>
      </c>
      <c r="E61" s="7" t="s">
        <v>494</v>
      </c>
      <c r="F61" s="7" t="s">
        <v>27</v>
      </c>
      <c r="G61" s="35" t="s">
        <v>297</v>
      </c>
      <c r="H61" s="14">
        <f t="shared" si="0"/>
        <v>45.75</v>
      </c>
      <c r="I61" s="14">
        <f t="shared" si="1"/>
        <v>45.75</v>
      </c>
      <c r="J61" s="19"/>
      <c r="K61" s="14" t="str">
        <f t="shared" si="2"/>
        <v>ELCCOA</v>
      </c>
    </row>
    <row r="62" spans="2:11" ht="13.2">
      <c r="B62" t="s">
        <v>458</v>
      </c>
      <c r="C62" t="s">
        <v>8</v>
      </c>
      <c r="D62" s="6">
        <v>2010</v>
      </c>
      <c r="E62" t="s">
        <v>82</v>
      </c>
      <c r="F62" s="9" t="s">
        <v>27</v>
      </c>
      <c r="G62" s="30" t="s">
        <v>297</v>
      </c>
      <c r="H62" s="14">
        <f>HLOOKUP(K62,FuelTax2,D62-2006,FALSE)*$C$10</f>
        <v>0</v>
      </c>
      <c r="I62" s="14">
        <f t="shared" si="1"/>
        <v>0</v>
      </c>
      <c r="J62" s="14"/>
      <c r="K62" s="14" t="str">
        <f t="shared" si="2"/>
        <v>ELCWPE</v>
      </c>
    </row>
    <row r="63" spans="2:11" ht="13.2">
      <c r="B63" t="s">
        <v>458</v>
      </c>
      <c r="C63" t="s">
        <v>8</v>
      </c>
      <c r="D63" s="6">
        <v>2011</v>
      </c>
      <c r="E63" t="s">
        <v>82</v>
      </c>
      <c r="F63" s="9" t="s">
        <v>27</v>
      </c>
      <c r="G63" s="30" t="s">
        <v>297</v>
      </c>
      <c r="H63" s="14">
        <f t="shared" si="0"/>
        <v>0</v>
      </c>
      <c r="I63" s="14">
        <f t="shared" si="1"/>
        <v>0</v>
      </c>
      <c r="J63" s="14"/>
      <c r="K63" s="14" t="str">
        <f t="shared" si="2"/>
        <v>ELCWPE</v>
      </c>
    </row>
    <row r="64" spans="2:11" ht="13.2">
      <c r="B64" t="s">
        <v>458</v>
      </c>
      <c r="C64" t="s">
        <v>8</v>
      </c>
      <c r="D64" s="6">
        <v>2012</v>
      </c>
      <c r="E64" t="s">
        <v>82</v>
      </c>
      <c r="F64" s="9" t="s">
        <v>27</v>
      </c>
      <c r="G64" s="30" t="s">
        <v>297</v>
      </c>
      <c r="H64" s="14">
        <f t="shared" si="0"/>
        <v>0</v>
      </c>
      <c r="I64" s="14">
        <f t="shared" si="1"/>
        <v>0</v>
      </c>
      <c r="J64" s="14"/>
      <c r="K64" s="14" t="str">
        <f t="shared" si="2"/>
        <v>ELCWPE</v>
      </c>
    </row>
    <row r="65" spans="2:11" ht="13.2">
      <c r="B65" t="s">
        <v>458</v>
      </c>
      <c r="C65" t="s">
        <v>8</v>
      </c>
      <c r="D65" s="6">
        <v>2013</v>
      </c>
      <c r="E65" t="s">
        <v>82</v>
      </c>
      <c r="F65" s="9" t="s">
        <v>27</v>
      </c>
      <c r="G65" s="30" t="s">
        <v>297</v>
      </c>
      <c r="H65" s="14">
        <f t="shared" si="0"/>
        <v>0</v>
      </c>
      <c r="I65" s="14">
        <f t="shared" si="1"/>
        <v>0</v>
      </c>
      <c r="J65" s="14"/>
      <c r="K65" s="14" t="str">
        <f t="shared" si="2"/>
        <v>ELCWPE</v>
      </c>
    </row>
    <row r="66" spans="2:11" ht="13.2">
      <c r="B66" t="s">
        <v>458</v>
      </c>
      <c r="C66" t="s">
        <v>8</v>
      </c>
      <c r="D66" s="6">
        <v>2014</v>
      </c>
      <c r="E66" t="s">
        <v>82</v>
      </c>
      <c r="F66" s="9" t="s">
        <v>27</v>
      </c>
      <c r="G66" s="30" t="s">
        <v>297</v>
      </c>
      <c r="H66" s="14">
        <f t="shared" si="0"/>
        <v>0</v>
      </c>
      <c r="I66" s="14">
        <f t="shared" si="1"/>
        <v>0</v>
      </c>
      <c r="J66" s="14"/>
      <c r="K66" s="14" t="str">
        <f t="shared" si="2"/>
        <v>ELCWPE</v>
      </c>
    </row>
    <row r="67" spans="2:11" ht="13.2">
      <c r="B67" t="s">
        <v>458</v>
      </c>
      <c r="C67" t="s">
        <v>8</v>
      </c>
      <c r="D67" s="6">
        <v>2015</v>
      </c>
      <c r="E67" t="s">
        <v>82</v>
      </c>
      <c r="F67" s="9" t="s">
        <v>27</v>
      </c>
      <c r="G67" s="30" t="s">
        <v>297</v>
      </c>
      <c r="H67" s="14">
        <f t="shared" si="0"/>
        <v>0</v>
      </c>
      <c r="I67" s="14">
        <f t="shared" si="1"/>
        <v>0</v>
      </c>
      <c r="J67" s="14"/>
      <c r="K67" s="14" t="str">
        <f t="shared" si="2"/>
        <v>ELCWPE</v>
      </c>
    </row>
    <row r="68" spans="2:11" ht="13.2">
      <c r="B68" t="s">
        <v>458</v>
      </c>
      <c r="C68" t="s">
        <v>8</v>
      </c>
      <c r="D68" s="6">
        <v>2016</v>
      </c>
      <c r="E68" t="s">
        <v>82</v>
      </c>
      <c r="F68" s="9" t="s">
        <v>27</v>
      </c>
      <c r="G68" s="30" t="s">
        <v>297</v>
      </c>
      <c r="H68" s="14">
        <f t="shared" si="0"/>
        <v>0</v>
      </c>
      <c r="I68" s="14">
        <f t="shared" si="1"/>
        <v>0</v>
      </c>
      <c r="J68" s="14"/>
      <c r="K68" s="14" t="str">
        <f t="shared" si="2"/>
        <v>ELCWPE</v>
      </c>
    </row>
    <row r="69" spans="2:11" ht="13.2">
      <c r="B69" t="s">
        <v>458</v>
      </c>
      <c r="C69" t="s">
        <v>8</v>
      </c>
      <c r="D69" s="6">
        <v>2017</v>
      </c>
      <c r="E69" t="s">
        <v>82</v>
      </c>
      <c r="F69" s="9" t="s">
        <v>27</v>
      </c>
      <c r="G69" s="30" t="s">
        <v>297</v>
      </c>
      <c r="H69" s="14">
        <f t="shared" si="0"/>
        <v>0</v>
      </c>
      <c r="I69" s="14">
        <f t="shared" si="1"/>
        <v>0</v>
      </c>
      <c r="J69" s="14"/>
      <c r="K69" s="14" t="str">
        <f t="shared" si="2"/>
        <v>ELCWPE</v>
      </c>
    </row>
    <row r="70" spans="2:11" ht="13.2">
      <c r="B70" t="s">
        <v>458</v>
      </c>
      <c r="C70" t="s">
        <v>8</v>
      </c>
      <c r="D70" s="6">
        <v>2018</v>
      </c>
      <c r="E70" t="s">
        <v>82</v>
      </c>
      <c r="F70" s="9" t="s">
        <v>27</v>
      </c>
      <c r="G70" s="30" t="s">
        <v>297</v>
      </c>
      <c r="H70" s="14">
        <f t="shared" si="0"/>
        <v>0</v>
      </c>
      <c r="I70" s="14">
        <f t="shared" si="1"/>
        <v>0</v>
      </c>
      <c r="J70" s="14"/>
      <c r="K70" s="14" t="str">
        <f t="shared" si="2"/>
        <v>ELCWPE</v>
      </c>
    </row>
    <row r="71" spans="2:11" ht="13.2">
      <c r="B71" t="s">
        <v>458</v>
      </c>
      <c r="C71" t="s">
        <v>8</v>
      </c>
      <c r="D71" s="6">
        <v>2019</v>
      </c>
      <c r="E71" t="s">
        <v>82</v>
      </c>
      <c r="F71" s="9" t="s">
        <v>27</v>
      </c>
      <c r="G71" s="30" t="s">
        <v>297</v>
      </c>
      <c r="H71" s="14">
        <f t="shared" si="0"/>
        <v>0</v>
      </c>
      <c r="I71" s="14">
        <f t="shared" si="1"/>
        <v>0</v>
      </c>
      <c r="J71" s="14"/>
      <c r="K71" s="14" t="str">
        <f t="shared" si="2"/>
        <v>ELCWPE</v>
      </c>
    </row>
    <row r="72" spans="2:11" ht="13.2">
      <c r="B72" t="s">
        <v>458</v>
      </c>
      <c r="C72" t="s">
        <v>8</v>
      </c>
      <c r="D72" s="6">
        <v>2020</v>
      </c>
      <c r="E72" t="s">
        <v>82</v>
      </c>
      <c r="F72" s="9" t="s">
        <v>27</v>
      </c>
      <c r="G72" s="30" t="s">
        <v>297</v>
      </c>
      <c r="H72" s="14">
        <f t="shared" si="0"/>
        <v>0</v>
      </c>
      <c r="I72" s="14">
        <f t="shared" si="1"/>
        <v>0</v>
      </c>
      <c r="J72" s="14"/>
      <c r="K72" s="14" t="str">
        <f t="shared" si="2"/>
        <v>ELCWPE</v>
      </c>
    </row>
    <row r="73" spans="2:11" ht="13.2">
      <c r="B73" t="s">
        <v>458</v>
      </c>
      <c r="C73" t="s">
        <v>8</v>
      </c>
      <c r="D73" s="6">
        <v>2021</v>
      </c>
      <c r="E73" t="s">
        <v>82</v>
      </c>
      <c r="F73" s="9" t="s">
        <v>27</v>
      </c>
      <c r="G73" s="30" t="s">
        <v>297</v>
      </c>
      <c r="H73" s="14">
        <f t="shared" si="0"/>
        <v>0</v>
      </c>
      <c r="I73" s="14">
        <f t="shared" si="1"/>
        <v>0</v>
      </c>
      <c r="J73" s="14"/>
      <c r="K73" s="14" t="str">
        <f t="shared" si="2"/>
        <v>ELCWPE</v>
      </c>
    </row>
    <row r="74" spans="2:11" ht="13.2">
      <c r="B74" t="s">
        <v>458</v>
      </c>
      <c r="C74" t="s">
        <v>8</v>
      </c>
      <c r="D74" s="6">
        <v>2022</v>
      </c>
      <c r="E74" t="s">
        <v>82</v>
      </c>
      <c r="F74" s="9" t="s">
        <v>27</v>
      </c>
      <c r="G74" s="30" t="s">
        <v>297</v>
      </c>
      <c r="H74" s="14">
        <f t="shared" si="0"/>
        <v>0</v>
      </c>
      <c r="I74" s="14">
        <f t="shared" si="1"/>
        <v>0</v>
      </c>
      <c r="J74" s="14"/>
      <c r="K74" s="14" t="str">
        <f t="shared" si="2"/>
        <v>ELCWPE</v>
      </c>
    </row>
    <row r="75" spans="2:11" ht="13.2">
      <c r="B75" t="s">
        <v>458</v>
      </c>
      <c r="C75" t="s">
        <v>8</v>
      </c>
      <c r="D75" s="6">
        <v>2023</v>
      </c>
      <c r="E75" t="s">
        <v>82</v>
      </c>
      <c r="F75" s="9" t="s">
        <v>27</v>
      </c>
      <c r="G75" s="30" t="s">
        <v>297</v>
      </c>
      <c r="H75" s="14">
        <f t="shared" si="0"/>
        <v>0</v>
      </c>
      <c r="I75" s="14">
        <f t="shared" si="1"/>
        <v>0</v>
      </c>
      <c r="J75" s="14"/>
      <c r="K75" s="14" t="str">
        <f t="shared" si="2"/>
        <v>ELCWPE</v>
      </c>
    </row>
    <row r="76" spans="2:11" ht="13.2">
      <c r="B76" t="s">
        <v>458</v>
      </c>
      <c r="C76" t="s">
        <v>8</v>
      </c>
      <c r="D76" s="6">
        <v>2024</v>
      </c>
      <c r="E76" t="s">
        <v>82</v>
      </c>
      <c r="F76" s="9" t="s">
        <v>27</v>
      </c>
      <c r="G76" s="30" t="s">
        <v>297</v>
      </c>
      <c r="H76" s="14">
        <f t="shared" si="0"/>
        <v>0</v>
      </c>
      <c r="I76" s="14">
        <f t="shared" si="1"/>
        <v>0</v>
      </c>
      <c r="J76" s="14"/>
      <c r="K76" s="14" t="str">
        <f t="shared" si="2"/>
        <v>ELCWPE</v>
      </c>
    </row>
    <row r="77" spans="2:11" ht="13.2">
      <c r="B77" t="s">
        <v>458</v>
      </c>
      <c r="C77" t="s">
        <v>8</v>
      </c>
      <c r="D77" s="6">
        <v>2025</v>
      </c>
      <c r="E77" t="s">
        <v>82</v>
      </c>
      <c r="F77" s="9" t="s">
        <v>27</v>
      </c>
      <c r="G77" s="30" t="s">
        <v>297</v>
      </c>
      <c r="H77" s="14">
        <f t="shared" si="0"/>
        <v>0</v>
      </c>
      <c r="I77" s="14">
        <f t="shared" si="1"/>
        <v>0</v>
      </c>
      <c r="J77" s="14"/>
      <c r="K77" s="14" t="str">
        <f t="shared" si="2"/>
        <v>ELCWPE</v>
      </c>
    </row>
    <row r="78" spans="2:11" ht="13.2">
      <c r="B78" t="s">
        <v>458</v>
      </c>
      <c r="C78" t="s">
        <v>8</v>
      </c>
      <c r="D78" s="6">
        <v>2026</v>
      </c>
      <c r="E78" t="s">
        <v>82</v>
      </c>
      <c r="F78" s="9" t="s">
        <v>27</v>
      </c>
      <c r="G78" s="30" t="s">
        <v>297</v>
      </c>
      <c r="H78" s="14">
        <f t="shared" si="0"/>
        <v>0</v>
      </c>
      <c r="I78" s="14">
        <f t="shared" si="1"/>
        <v>0</v>
      </c>
      <c r="J78" s="14"/>
      <c r="K78" s="14" t="str">
        <f t="shared" si="2"/>
        <v>ELCWPE</v>
      </c>
    </row>
    <row r="79" spans="2:11" ht="13.2">
      <c r="B79" t="s">
        <v>458</v>
      </c>
      <c r="C79" t="s">
        <v>8</v>
      </c>
      <c r="D79" s="6">
        <v>2027</v>
      </c>
      <c r="E79" t="s">
        <v>82</v>
      </c>
      <c r="F79" s="9" t="s">
        <v>27</v>
      </c>
      <c r="G79" s="30" t="s">
        <v>297</v>
      </c>
      <c r="H79" s="14">
        <f t="shared" si="0"/>
        <v>0</v>
      </c>
      <c r="I79" s="14">
        <f t="shared" si="1"/>
        <v>0</v>
      </c>
      <c r="J79" s="14"/>
      <c r="K79" s="14" t="str">
        <f t="shared" si="2"/>
        <v>ELCWPE</v>
      </c>
    </row>
    <row r="80" spans="2:11" ht="13.2">
      <c r="B80" t="s">
        <v>458</v>
      </c>
      <c r="C80" t="s">
        <v>8</v>
      </c>
      <c r="D80" s="6">
        <v>2028</v>
      </c>
      <c r="E80" t="s">
        <v>82</v>
      </c>
      <c r="F80" s="9" t="s">
        <v>27</v>
      </c>
      <c r="G80" s="30" t="s">
        <v>297</v>
      </c>
      <c r="H80" s="14">
        <f t="shared" si="0"/>
        <v>0</v>
      </c>
      <c r="I80" s="14">
        <f t="shared" si="1"/>
        <v>0</v>
      </c>
      <c r="J80" s="14"/>
      <c r="K80" s="14" t="str">
        <f t="shared" si="2"/>
        <v>ELCWPE</v>
      </c>
    </row>
    <row r="81" spans="2:11" ht="13.2">
      <c r="B81" t="s">
        <v>458</v>
      </c>
      <c r="C81" t="s">
        <v>8</v>
      </c>
      <c r="D81" s="6">
        <v>2029</v>
      </c>
      <c r="E81" t="s">
        <v>82</v>
      </c>
      <c r="F81" s="9" t="s">
        <v>27</v>
      </c>
      <c r="G81" s="30" t="s">
        <v>297</v>
      </c>
      <c r="H81" s="14">
        <f t="shared" si="0"/>
        <v>0</v>
      </c>
      <c r="I81" s="14">
        <f t="shared" si="1"/>
        <v>0</v>
      </c>
      <c r="J81" s="14"/>
      <c r="K81" s="14" t="str">
        <f t="shared" si="2"/>
        <v>ELCWPE</v>
      </c>
    </row>
    <row r="82" spans="2:11" ht="13.2">
      <c r="B82" t="s">
        <v>458</v>
      </c>
      <c r="C82" t="s">
        <v>8</v>
      </c>
      <c r="D82" s="6">
        <v>2030</v>
      </c>
      <c r="E82" t="s">
        <v>82</v>
      </c>
      <c r="F82" s="9" t="s">
        <v>27</v>
      </c>
      <c r="G82" s="30" t="s">
        <v>297</v>
      </c>
      <c r="H82" s="14">
        <f t="shared" si="0"/>
        <v>0</v>
      </c>
      <c r="I82" s="14">
        <f t="shared" si="1"/>
        <v>0</v>
      </c>
      <c r="J82" s="14"/>
      <c r="K82" s="14" t="str">
        <f t="shared" si="2"/>
        <v>ELCWPE</v>
      </c>
    </row>
    <row r="83" spans="2:11" ht="13.2">
      <c r="B83" t="s">
        <v>458</v>
      </c>
      <c r="C83" t="s">
        <v>8</v>
      </c>
      <c r="D83" s="6">
        <v>2031</v>
      </c>
      <c r="E83" t="s">
        <v>82</v>
      </c>
      <c r="F83" s="9" t="s">
        <v>27</v>
      </c>
      <c r="G83" s="30" t="s">
        <v>297</v>
      </c>
      <c r="H83" s="14">
        <f t="shared" si="0"/>
        <v>0</v>
      </c>
      <c r="I83" s="14">
        <f t="shared" si="1"/>
        <v>0</v>
      </c>
      <c r="J83" s="14"/>
      <c r="K83" s="14" t="str">
        <f t="shared" si="2"/>
        <v>ELCWPE</v>
      </c>
    </row>
    <row r="84" spans="2:11" ht="13.2">
      <c r="B84" t="s">
        <v>458</v>
      </c>
      <c r="C84" t="s">
        <v>8</v>
      </c>
      <c r="D84" s="6">
        <v>2032</v>
      </c>
      <c r="E84" t="s">
        <v>82</v>
      </c>
      <c r="F84" s="9" t="s">
        <v>27</v>
      </c>
      <c r="G84" s="30" t="s">
        <v>297</v>
      </c>
      <c r="H84" s="14">
        <f t="shared" si="0"/>
        <v>0</v>
      </c>
      <c r="I84" s="14">
        <f t="shared" si="1"/>
        <v>0</v>
      </c>
      <c r="J84" s="14"/>
      <c r="K84" s="14" t="str">
        <f t="shared" si="2"/>
        <v>ELCWPE</v>
      </c>
    </row>
    <row r="85" spans="2:11" ht="13.2">
      <c r="B85" t="s">
        <v>458</v>
      </c>
      <c r="C85" t="s">
        <v>8</v>
      </c>
      <c r="D85" s="6">
        <v>2033</v>
      </c>
      <c r="E85" t="s">
        <v>82</v>
      </c>
      <c r="F85" s="9" t="s">
        <v>27</v>
      </c>
      <c r="G85" s="30" t="s">
        <v>297</v>
      </c>
      <c r="H85" s="14">
        <f t="shared" ref="H85:H148" si="3">HLOOKUP(K85,FuelTax2,D85-2006,FALSE)*$C$10</f>
        <v>0</v>
      </c>
      <c r="I85" s="14">
        <f t="shared" si="1"/>
        <v>0</v>
      </c>
      <c r="J85" s="14"/>
      <c r="K85" s="14" t="str">
        <f t="shared" si="2"/>
        <v>ELCWPE</v>
      </c>
    </row>
    <row r="86" spans="2:11" ht="13.2">
      <c r="B86" t="s">
        <v>458</v>
      </c>
      <c r="C86" t="s">
        <v>8</v>
      </c>
      <c r="D86" s="6">
        <v>2034</v>
      </c>
      <c r="E86" t="s">
        <v>82</v>
      </c>
      <c r="F86" s="9" t="s">
        <v>27</v>
      </c>
      <c r="G86" s="30" t="s">
        <v>297</v>
      </c>
      <c r="H86" s="14">
        <f t="shared" si="3"/>
        <v>0</v>
      </c>
      <c r="I86" s="14">
        <f t="shared" ref="I86:I149" si="4">H86</f>
        <v>0</v>
      </c>
      <c r="J86" s="14"/>
      <c r="K86" s="14" t="str">
        <f t="shared" ref="K86:K149" si="5">"ELC"&amp;LEFT(RIGHT(E86,4),3)</f>
        <v>ELCWPE</v>
      </c>
    </row>
    <row r="87" spans="2:11" ht="13.2">
      <c r="B87" t="s">
        <v>458</v>
      </c>
      <c r="C87" t="s">
        <v>8</v>
      </c>
      <c r="D87" s="6">
        <v>2035</v>
      </c>
      <c r="E87" t="s">
        <v>82</v>
      </c>
      <c r="F87" s="9" t="s">
        <v>27</v>
      </c>
      <c r="G87" s="30" t="s">
        <v>297</v>
      </c>
      <c r="H87" s="14">
        <f t="shared" si="3"/>
        <v>0</v>
      </c>
      <c r="I87" s="14">
        <f t="shared" si="4"/>
        <v>0</v>
      </c>
      <c r="J87" s="14"/>
      <c r="K87" s="14" t="str">
        <f t="shared" si="5"/>
        <v>ELCWPE</v>
      </c>
    </row>
    <row r="88" spans="2:11" ht="13.2">
      <c r="B88" t="s">
        <v>458</v>
      </c>
      <c r="C88" t="s">
        <v>8</v>
      </c>
      <c r="D88" s="6">
        <v>2036</v>
      </c>
      <c r="E88" t="s">
        <v>82</v>
      </c>
      <c r="F88" s="9" t="s">
        <v>27</v>
      </c>
      <c r="G88" s="30" t="s">
        <v>297</v>
      </c>
      <c r="H88" s="14">
        <f t="shared" si="3"/>
        <v>0</v>
      </c>
      <c r="I88" s="14">
        <f t="shared" si="4"/>
        <v>0</v>
      </c>
      <c r="J88" s="14"/>
      <c r="K88" s="14" t="str">
        <f t="shared" si="5"/>
        <v>ELCWPE</v>
      </c>
    </row>
    <row r="89" spans="2:11" ht="13.2">
      <c r="B89" t="s">
        <v>458</v>
      </c>
      <c r="C89" t="s">
        <v>8</v>
      </c>
      <c r="D89" s="6">
        <v>2037</v>
      </c>
      <c r="E89" t="s">
        <v>82</v>
      </c>
      <c r="F89" s="9" t="s">
        <v>27</v>
      </c>
      <c r="G89" s="30" t="s">
        <v>297</v>
      </c>
      <c r="H89" s="14">
        <f t="shared" si="3"/>
        <v>0</v>
      </c>
      <c r="I89" s="14">
        <f t="shared" si="4"/>
        <v>0</v>
      </c>
      <c r="J89" s="14"/>
      <c r="K89" s="14" t="str">
        <f t="shared" si="5"/>
        <v>ELCWPE</v>
      </c>
    </row>
    <row r="90" spans="2:11" ht="13.2">
      <c r="B90" t="s">
        <v>458</v>
      </c>
      <c r="C90" t="s">
        <v>8</v>
      </c>
      <c r="D90" s="6">
        <v>2038</v>
      </c>
      <c r="E90" t="s">
        <v>82</v>
      </c>
      <c r="F90" s="9" t="s">
        <v>27</v>
      </c>
      <c r="G90" s="30" t="s">
        <v>297</v>
      </c>
      <c r="H90" s="14">
        <f t="shared" si="3"/>
        <v>0</v>
      </c>
      <c r="I90" s="14">
        <f t="shared" si="4"/>
        <v>0</v>
      </c>
      <c r="J90" s="14"/>
      <c r="K90" s="14" t="str">
        <f t="shared" si="5"/>
        <v>ELCWPE</v>
      </c>
    </row>
    <row r="91" spans="2:11" ht="13.2">
      <c r="B91" t="s">
        <v>458</v>
      </c>
      <c r="C91" t="s">
        <v>8</v>
      </c>
      <c r="D91" s="6">
        <v>2039</v>
      </c>
      <c r="E91" t="s">
        <v>82</v>
      </c>
      <c r="F91" s="9" t="s">
        <v>27</v>
      </c>
      <c r="G91" s="30" t="s">
        <v>297</v>
      </c>
      <c r="H91" s="14">
        <f t="shared" si="3"/>
        <v>0</v>
      </c>
      <c r="I91" s="14">
        <f t="shared" si="4"/>
        <v>0</v>
      </c>
      <c r="J91" s="14"/>
      <c r="K91" s="14" t="str">
        <f t="shared" si="5"/>
        <v>ELCWPE</v>
      </c>
    </row>
    <row r="92" spans="2:11" ht="13.2">
      <c r="B92" t="s">
        <v>458</v>
      </c>
      <c r="C92" t="s">
        <v>8</v>
      </c>
      <c r="D92" s="6">
        <v>2040</v>
      </c>
      <c r="E92" t="s">
        <v>82</v>
      </c>
      <c r="F92" s="9" t="s">
        <v>27</v>
      </c>
      <c r="G92" s="30" t="s">
        <v>297</v>
      </c>
      <c r="H92" s="14">
        <f t="shared" si="3"/>
        <v>0</v>
      </c>
      <c r="I92" s="14">
        <f t="shared" si="4"/>
        <v>0</v>
      </c>
      <c r="J92" s="14"/>
      <c r="K92" s="14" t="str">
        <f t="shared" si="5"/>
        <v>ELCWPE</v>
      </c>
    </row>
    <row r="93" spans="2:11" ht="13.2">
      <c r="B93" t="s">
        <v>458</v>
      </c>
      <c r="C93" t="s">
        <v>8</v>
      </c>
      <c r="D93" s="6">
        <v>2041</v>
      </c>
      <c r="E93" t="s">
        <v>82</v>
      </c>
      <c r="F93" s="9" t="s">
        <v>27</v>
      </c>
      <c r="G93" s="30" t="s">
        <v>297</v>
      </c>
      <c r="H93" s="14">
        <f t="shared" si="3"/>
        <v>0</v>
      </c>
      <c r="I93" s="14">
        <f t="shared" si="4"/>
        <v>0</v>
      </c>
      <c r="J93" s="14"/>
      <c r="K93" s="14" t="str">
        <f t="shared" si="5"/>
        <v>ELCWPE</v>
      </c>
    </row>
    <row r="94" spans="2:11" ht="13.2">
      <c r="B94" t="s">
        <v>458</v>
      </c>
      <c r="C94" t="s">
        <v>8</v>
      </c>
      <c r="D94" s="6">
        <v>2042</v>
      </c>
      <c r="E94" t="s">
        <v>82</v>
      </c>
      <c r="F94" s="9" t="s">
        <v>27</v>
      </c>
      <c r="G94" s="30" t="s">
        <v>297</v>
      </c>
      <c r="H94" s="14">
        <f t="shared" si="3"/>
        <v>0</v>
      </c>
      <c r="I94" s="14">
        <f t="shared" si="4"/>
        <v>0</v>
      </c>
      <c r="J94" s="14"/>
      <c r="K94" s="14" t="str">
        <f t="shared" si="5"/>
        <v>ELCWPE</v>
      </c>
    </row>
    <row r="95" spans="2:11" ht="13.2">
      <c r="B95" t="s">
        <v>458</v>
      </c>
      <c r="C95" t="s">
        <v>8</v>
      </c>
      <c r="D95" s="6">
        <v>2043</v>
      </c>
      <c r="E95" t="s">
        <v>82</v>
      </c>
      <c r="F95" s="9" t="s">
        <v>27</v>
      </c>
      <c r="G95" s="30" t="s">
        <v>297</v>
      </c>
      <c r="H95" s="14">
        <f t="shared" si="3"/>
        <v>0</v>
      </c>
      <c r="I95" s="14">
        <f t="shared" si="4"/>
        <v>0</v>
      </c>
      <c r="J95" s="14"/>
      <c r="K95" s="14" t="str">
        <f t="shared" si="5"/>
        <v>ELCWPE</v>
      </c>
    </row>
    <row r="96" spans="2:11" ht="13.2">
      <c r="B96" t="s">
        <v>458</v>
      </c>
      <c r="C96" t="s">
        <v>8</v>
      </c>
      <c r="D96" s="6">
        <v>2044</v>
      </c>
      <c r="E96" t="s">
        <v>82</v>
      </c>
      <c r="F96" s="9" t="s">
        <v>27</v>
      </c>
      <c r="G96" s="30" t="s">
        <v>297</v>
      </c>
      <c r="H96" s="14">
        <f t="shared" si="3"/>
        <v>0</v>
      </c>
      <c r="I96" s="14">
        <f t="shared" si="4"/>
        <v>0</v>
      </c>
      <c r="J96" s="14"/>
      <c r="K96" s="14" t="str">
        <f t="shared" si="5"/>
        <v>ELCWPE</v>
      </c>
    </row>
    <row r="97" spans="2:11" ht="13.2">
      <c r="B97" t="s">
        <v>458</v>
      </c>
      <c r="C97" t="s">
        <v>8</v>
      </c>
      <c r="D97" s="6">
        <v>2045</v>
      </c>
      <c r="E97" t="s">
        <v>82</v>
      </c>
      <c r="F97" s="9" t="s">
        <v>27</v>
      </c>
      <c r="G97" s="30" t="s">
        <v>297</v>
      </c>
      <c r="H97" s="14">
        <f t="shared" si="3"/>
        <v>0</v>
      </c>
      <c r="I97" s="14">
        <f t="shared" si="4"/>
        <v>0</v>
      </c>
      <c r="J97" s="14"/>
      <c r="K97" s="14" t="str">
        <f t="shared" si="5"/>
        <v>ELCWPE</v>
      </c>
    </row>
    <row r="98" spans="2:11" ht="13.2">
      <c r="B98" t="s">
        <v>458</v>
      </c>
      <c r="C98" t="s">
        <v>8</v>
      </c>
      <c r="D98" s="6">
        <v>2046</v>
      </c>
      <c r="E98" t="s">
        <v>82</v>
      </c>
      <c r="F98" s="9" t="s">
        <v>27</v>
      </c>
      <c r="G98" s="30" t="s">
        <v>297</v>
      </c>
      <c r="H98" s="14">
        <f t="shared" si="3"/>
        <v>0</v>
      </c>
      <c r="I98" s="14">
        <f t="shared" si="4"/>
        <v>0</v>
      </c>
      <c r="J98" s="14"/>
      <c r="K98" s="14" t="str">
        <f t="shared" si="5"/>
        <v>ELCWPE</v>
      </c>
    </row>
    <row r="99" spans="2:11" ht="13.2">
      <c r="B99" t="s">
        <v>458</v>
      </c>
      <c r="C99" t="s">
        <v>8</v>
      </c>
      <c r="D99" s="6">
        <v>2047</v>
      </c>
      <c r="E99" t="s">
        <v>82</v>
      </c>
      <c r="F99" s="9" t="s">
        <v>27</v>
      </c>
      <c r="G99" s="30" t="s">
        <v>297</v>
      </c>
      <c r="H99" s="14">
        <f t="shared" si="3"/>
        <v>0</v>
      </c>
      <c r="I99" s="14">
        <f t="shared" si="4"/>
        <v>0</v>
      </c>
      <c r="J99" s="14"/>
      <c r="K99" s="14" t="str">
        <f t="shared" si="5"/>
        <v>ELCWPE</v>
      </c>
    </row>
    <row r="100" spans="2:11" ht="13.2">
      <c r="B100" t="s">
        <v>458</v>
      </c>
      <c r="C100" t="s">
        <v>8</v>
      </c>
      <c r="D100" s="6">
        <v>2048</v>
      </c>
      <c r="E100" t="s">
        <v>82</v>
      </c>
      <c r="F100" s="9" t="s">
        <v>27</v>
      </c>
      <c r="G100" s="30" t="s">
        <v>297</v>
      </c>
      <c r="H100" s="14">
        <f t="shared" si="3"/>
        <v>0</v>
      </c>
      <c r="I100" s="14">
        <f t="shared" si="4"/>
        <v>0</v>
      </c>
      <c r="J100" s="14"/>
      <c r="K100" s="14" t="str">
        <f t="shared" si="5"/>
        <v>ELCWPE</v>
      </c>
    </row>
    <row r="101" spans="2:11" ht="13.2">
      <c r="B101" t="s">
        <v>458</v>
      </c>
      <c r="C101" t="s">
        <v>8</v>
      </c>
      <c r="D101" s="6">
        <v>2049</v>
      </c>
      <c r="E101" t="s">
        <v>82</v>
      </c>
      <c r="F101" s="9" t="s">
        <v>27</v>
      </c>
      <c r="G101" s="30" t="s">
        <v>297</v>
      </c>
      <c r="H101" s="14">
        <f t="shared" si="3"/>
        <v>0</v>
      </c>
      <c r="I101" s="14">
        <f t="shared" si="4"/>
        <v>0</v>
      </c>
      <c r="J101" s="14"/>
      <c r="K101" s="14" t="str">
        <f t="shared" si="5"/>
        <v>ELCWPE</v>
      </c>
    </row>
    <row r="102" spans="2:11" ht="13.2">
      <c r="B102" s="7" t="s">
        <v>458</v>
      </c>
      <c r="C102" s="7" t="s">
        <v>8</v>
      </c>
      <c r="D102" s="8">
        <v>2050</v>
      </c>
      <c r="E102" s="7" t="s">
        <v>82</v>
      </c>
      <c r="F102" s="7" t="s">
        <v>27</v>
      </c>
      <c r="G102" s="35" t="s">
        <v>297</v>
      </c>
      <c r="H102" s="14">
        <f t="shared" si="3"/>
        <v>0</v>
      </c>
      <c r="I102" s="14">
        <f t="shared" si="4"/>
        <v>0</v>
      </c>
      <c r="J102" s="19"/>
      <c r="K102" s="14" t="str">
        <f t="shared" si="5"/>
        <v>ELCWPE</v>
      </c>
    </row>
    <row r="103" spans="2:11" ht="13.2">
      <c r="B103" s="9" t="s">
        <v>458</v>
      </c>
      <c r="C103" t="s">
        <v>8</v>
      </c>
      <c r="D103" s="6">
        <v>2010</v>
      </c>
      <c r="E103" t="s">
        <v>79</v>
      </c>
      <c r="F103" s="9" t="s">
        <v>27</v>
      </c>
      <c r="G103" s="30" t="s">
        <v>297</v>
      </c>
      <c r="H103" s="14">
        <f t="shared" si="3"/>
        <v>15.984046164290564</v>
      </c>
      <c r="I103" s="14">
        <f t="shared" si="4"/>
        <v>15.984046164290564</v>
      </c>
      <c r="J103" s="14"/>
      <c r="K103" s="14" t="str">
        <f t="shared" si="5"/>
        <v>ELCWST</v>
      </c>
    </row>
    <row r="104" spans="2:11" ht="13.2">
      <c r="B104" s="9" t="s">
        <v>458</v>
      </c>
      <c r="C104" t="s">
        <v>8</v>
      </c>
      <c r="D104" s="6">
        <v>2011</v>
      </c>
      <c r="E104" t="s">
        <v>79</v>
      </c>
      <c r="F104" s="9" t="s">
        <v>27</v>
      </c>
      <c r="G104" s="30" t="s">
        <v>297</v>
      </c>
      <c r="H104" s="14">
        <f t="shared" si="3"/>
        <v>17.248090631364562</v>
      </c>
      <c r="I104" s="14">
        <f t="shared" si="4"/>
        <v>17.248090631364562</v>
      </c>
      <c r="J104" s="14"/>
      <c r="K104" s="14" t="str">
        <f t="shared" si="5"/>
        <v>ELCWST</v>
      </c>
    </row>
    <row r="105" spans="2:11" ht="13.2">
      <c r="B105" s="9" t="s">
        <v>458</v>
      </c>
      <c r="C105" t="s">
        <v>8</v>
      </c>
      <c r="D105" s="6">
        <v>2012</v>
      </c>
      <c r="E105" t="s">
        <v>79</v>
      </c>
      <c r="F105" s="9" t="s">
        <v>27</v>
      </c>
      <c r="G105" s="30" t="s">
        <v>297</v>
      </c>
      <c r="H105" s="14">
        <f t="shared" si="3"/>
        <v>18.756788866259335</v>
      </c>
      <c r="I105" s="14">
        <f t="shared" si="4"/>
        <v>18.756788866259335</v>
      </c>
      <c r="J105" s="14"/>
      <c r="K105" s="14" t="str">
        <f t="shared" si="5"/>
        <v>ELCWST</v>
      </c>
    </row>
    <row r="106" spans="2:11" ht="13.2">
      <c r="B106" s="9" t="s">
        <v>458</v>
      </c>
      <c r="C106" t="s">
        <v>8</v>
      </c>
      <c r="D106" s="6">
        <v>2013</v>
      </c>
      <c r="E106" t="s">
        <v>79</v>
      </c>
      <c r="F106" s="9" t="s">
        <v>27</v>
      </c>
      <c r="G106" s="30" t="s">
        <v>297</v>
      </c>
      <c r="H106" s="14">
        <f t="shared" si="3"/>
        <v>22.915902919212488</v>
      </c>
      <c r="I106" s="14">
        <f t="shared" si="4"/>
        <v>22.915902919212488</v>
      </c>
      <c r="J106" s="14"/>
      <c r="K106" s="14" t="str">
        <f t="shared" si="5"/>
        <v>ELCWST</v>
      </c>
    </row>
    <row r="107" spans="2:11" ht="13.2">
      <c r="B107" s="9" t="s">
        <v>458</v>
      </c>
      <c r="C107" t="s">
        <v>8</v>
      </c>
      <c r="D107" s="6">
        <v>2014</v>
      </c>
      <c r="E107" t="s">
        <v>79</v>
      </c>
      <c r="F107" s="9" t="s">
        <v>27</v>
      </c>
      <c r="G107" s="30" t="s">
        <v>297</v>
      </c>
      <c r="H107" s="14">
        <f t="shared" si="3"/>
        <v>27.156568228105904</v>
      </c>
      <c r="I107" s="14">
        <f t="shared" si="4"/>
        <v>27.156568228105904</v>
      </c>
      <c r="J107" s="14"/>
      <c r="K107" s="14" t="str">
        <f t="shared" si="5"/>
        <v>ELCWST</v>
      </c>
    </row>
    <row r="108" spans="2:11" ht="13.2">
      <c r="B108" s="9" t="s">
        <v>458</v>
      </c>
      <c r="C108" t="s">
        <v>8</v>
      </c>
      <c r="D108" s="6">
        <v>2015</v>
      </c>
      <c r="E108" t="s">
        <v>79</v>
      </c>
      <c r="F108" s="9" t="s">
        <v>27</v>
      </c>
      <c r="G108" s="30" t="s">
        <v>297</v>
      </c>
      <c r="H108" s="14">
        <f t="shared" si="3"/>
        <v>26.662909836065577</v>
      </c>
      <c r="I108" s="14">
        <f t="shared" si="4"/>
        <v>26.662909836065577</v>
      </c>
      <c r="J108" s="14"/>
      <c r="K108" s="14" t="str">
        <f t="shared" si="5"/>
        <v>ELCWST</v>
      </c>
    </row>
    <row r="109" spans="2:11" ht="13.2">
      <c r="B109" s="9" t="s">
        <v>458</v>
      </c>
      <c r="C109" t="s">
        <v>8</v>
      </c>
      <c r="D109" s="6">
        <v>2016</v>
      </c>
      <c r="E109" t="s">
        <v>79</v>
      </c>
      <c r="F109" s="9" t="s">
        <v>27</v>
      </c>
      <c r="G109" s="30" t="s">
        <v>297</v>
      </c>
      <c r="H109" s="14">
        <f t="shared" si="3"/>
        <v>26.662909836065577</v>
      </c>
      <c r="I109" s="14">
        <f t="shared" si="4"/>
        <v>26.662909836065577</v>
      </c>
      <c r="J109" s="14"/>
      <c r="K109" s="14" t="str">
        <f t="shared" si="5"/>
        <v>ELCWST</v>
      </c>
    </row>
    <row r="110" spans="2:11" ht="13.2">
      <c r="B110" s="9" t="s">
        <v>458</v>
      </c>
      <c r="C110" t="s">
        <v>8</v>
      </c>
      <c r="D110" s="6">
        <v>2017</v>
      </c>
      <c r="E110" t="s">
        <v>79</v>
      </c>
      <c r="F110" s="9" t="s">
        <v>27</v>
      </c>
      <c r="G110" s="30" t="s">
        <v>297</v>
      </c>
      <c r="H110" s="14">
        <f t="shared" si="3"/>
        <v>26.662909836065577</v>
      </c>
      <c r="I110" s="14">
        <f t="shared" si="4"/>
        <v>26.662909836065577</v>
      </c>
      <c r="J110" s="14"/>
      <c r="K110" s="14" t="str">
        <f t="shared" si="5"/>
        <v>ELCWST</v>
      </c>
    </row>
    <row r="111" spans="2:11" ht="13.2">
      <c r="B111" s="9" t="s">
        <v>458</v>
      </c>
      <c r="C111" t="s">
        <v>8</v>
      </c>
      <c r="D111" s="6">
        <v>2018</v>
      </c>
      <c r="E111" t="s">
        <v>79</v>
      </c>
      <c r="F111" s="9" t="s">
        <v>27</v>
      </c>
      <c r="G111" s="30" t="s">
        <v>297</v>
      </c>
      <c r="H111" s="14">
        <f t="shared" si="3"/>
        <v>26.662909836065577</v>
      </c>
      <c r="I111" s="14">
        <f t="shared" si="4"/>
        <v>26.662909836065577</v>
      </c>
      <c r="J111" s="14"/>
      <c r="K111" s="14" t="str">
        <f t="shared" si="5"/>
        <v>ELCWST</v>
      </c>
    </row>
    <row r="112" spans="2:11" ht="13.2">
      <c r="B112" s="9" t="s">
        <v>458</v>
      </c>
      <c r="C112" t="s">
        <v>8</v>
      </c>
      <c r="D112" s="6">
        <v>2019</v>
      </c>
      <c r="E112" t="s">
        <v>79</v>
      </c>
      <c r="F112" s="9" t="s">
        <v>27</v>
      </c>
      <c r="G112" s="30" t="s">
        <v>297</v>
      </c>
      <c r="H112" s="14">
        <f t="shared" si="3"/>
        <v>26.662909836065577</v>
      </c>
      <c r="I112" s="14">
        <f t="shared" si="4"/>
        <v>26.662909836065577</v>
      </c>
      <c r="J112" s="14"/>
      <c r="K112" s="14" t="str">
        <f t="shared" si="5"/>
        <v>ELCWST</v>
      </c>
    </row>
    <row r="113" spans="2:11" ht="13.2">
      <c r="B113" s="9" t="s">
        <v>458</v>
      </c>
      <c r="C113" t="s">
        <v>8</v>
      </c>
      <c r="D113" s="6">
        <v>2020</v>
      </c>
      <c r="E113" t="s">
        <v>79</v>
      </c>
      <c r="F113" s="9" t="s">
        <v>27</v>
      </c>
      <c r="G113" s="30" t="s">
        <v>297</v>
      </c>
      <c r="H113" s="14">
        <f t="shared" si="3"/>
        <v>26.662909836065577</v>
      </c>
      <c r="I113" s="14">
        <f t="shared" si="4"/>
        <v>26.662909836065577</v>
      </c>
      <c r="J113" s="14"/>
      <c r="K113" s="14" t="str">
        <f t="shared" si="5"/>
        <v>ELCWST</v>
      </c>
    </row>
    <row r="114" spans="2:11" ht="13.2">
      <c r="B114" s="9" t="s">
        <v>458</v>
      </c>
      <c r="C114" t="s">
        <v>8</v>
      </c>
      <c r="D114" s="6">
        <v>2021</v>
      </c>
      <c r="E114" t="s">
        <v>79</v>
      </c>
      <c r="F114" s="9" t="s">
        <v>27</v>
      </c>
      <c r="G114" s="30" t="s">
        <v>297</v>
      </c>
      <c r="H114" s="14">
        <f t="shared" si="3"/>
        <v>26.662909836065577</v>
      </c>
      <c r="I114" s="14">
        <f t="shared" si="4"/>
        <v>26.662909836065577</v>
      </c>
      <c r="J114" s="14"/>
      <c r="K114" s="14" t="str">
        <f t="shared" si="5"/>
        <v>ELCWST</v>
      </c>
    </row>
    <row r="115" spans="2:11" ht="13.2">
      <c r="B115" s="9" t="s">
        <v>458</v>
      </c>
      <c r="C115" t="s">
        <v>8</v>
      </c>
      <c r="D115" s="6">
        <v>2022</v>
      </c>
      <c r="E115" t="s">
        <v>79</v>
      </c>
      <c r="F115" s="9" t="s">
        <v>27</v>
      </c>
      <c r="G115" s="30" t="s">
        <v>297</v>
      </c>
      <c r="H115" s="14">
        <f t="shared" si="3"/>
        <v>26.662909836065577</v>
      </c>
      <c r="I115" s="14">
        <f t="shared" si="4"/>
        <v>26.662909836065577</v>
      </c>
      <c r="J115" s="14"/>
      <c r="K115" s="14" t="str">
        <f t="shared" si="5"/>
        <v>ELCWST</v>
      </c>
    </row>
    <row r="116" spans="2:11" ht="13.2">
      <c r="B116" s="9" t="s">
        <v>458</v>
      </c>
      <c r="C116" t="s">
        <v>8</v>
      </c>
      <c r="D116" s="6">
        <v>2023</v>
      </c>
      <c r="E116" t="s">
        <v>79</v>
      </c>
      <c r="F116" s="9" t="s">
        <v>27</v>
      </c>
      <c r="G116" s="30" t="s">
        <v>297</v>
      </c>
      <c r="H116" s="14">
        <f t="shared" si="3"/>
        <v>26.662909836065577</v>
      </c>
      <c r="I116" s="14">
        <f t="shared" si="4"/>
        <v>26.662909836065577</v>
      </c>
      <c r="J116" s="14"/>
      <c r="K116" s="14" t="str">
        <f t="shared" si="5"/>
        <v>ELCWST</v>
      </c>
    </row>
    <row r="117" spans="2:11" ht="13.2">
      <c r="B117" s="9" t="s">
        <v>458</v>
      </c>
      <c r="C117" t="s">
        <v>8</v>
      </c>
      <c r="D117" s="6">
        <v>2024</v>
      </c>
      <c r="E117" t="s">
        <v>79</v>
      </c>
      <c r="F117" s="9" t="s">
        <v>27</v>
      </c>
      <c r="G117" s="30" t="s">
        <v>297</v>
      </c>
      <c r="H117" s="14">
        <f t="shared" si="3"/>
        <v>26.662909836065577</v>
      </c>
      <c r="I117" s="14">
        <f t="shared" si="4"/>
        <v>26.662909836065577</v>
      </c>
      <c r="J117" s="14"/>
      <c r="K117" s="14" t="str">
        <f t="shared" si="5"/>
        <v>ELCWST</v>
      </c>
    </row>
    <row r="118" spans="2:11" ht="13.2">
      <c r="B118" s="9" t="s">
        <v>458</v>
      </c>
      <c r="C118" t="s">
        <v>8</v>
      </c>
      <c r="D118" s="6">
        <v>2025</v>
      </c>
      <c r="E118" t="s">
        <v>79</v>
      </c>
      <c r="F118" s="9" t="s">
        <v>27</v>
      </c>
      <c r="G118" s="30" t="s">
        <v>297</v>
      </c>
      <c r="H118" s="14">
        <f t="shared" si="3"/>
        <v>26.662909836065577</v>
      </c>
      <c r="I118" s="14">
        <f t="shared" si="4"/>
        <v>26.662909836065577</v>
      </c>
      <c r="J118" s="14"/>
      <c r="K118" s="14" t="str">
        <f t="shared" si="5"/>
        <v>ELCWST</v>
      </c>
    </row>
    <row r="119" spans="2:11" ht="13.2">
      <c r="B119" s="9" t="s">
        <v>458</v>
      </c>
      <c r="C119" t="s">
        <v>8</v>
      </c>
      <c r="D119" s="6">
        <v>2026</v>
      </c>
      <c r="E119" t="s">
        <v>79</v>
      </c>
      <c r="F119" s="9" t="s">
        <v>27</v>
      </c>
      <c r="G119" s="30" t="s">
        <v>297</v>
      </c>
      <c r="H119" s="14">
        <f t="shared" si="3"/>
        <v>26.662909836065577</v>
      </c>
      <c r="I119" s="14">
        <f t="shared" si="4"/>
        <v>26.662909836065577</v>
      </c>
      <c r="J119" s="14"/>
      <c r="K119" s="14" t="str">
        <f t="shared" si="5"/>
        <v>ELCWST</v>
      </c>
    </row>
    <row r="120" spans="2:11" ht="13.2">
      <c r="B120" s="9" t="s">
        <v>458</v>
      </c>
      <c r="C120" t="s">
        <v>8</v>
      </c>
      <c r="D120" s="6">
        <v>2027</v>
      </c>
      <c r="E120" t="s">
        <v>79</v>
      </c>
      <c r="F120" s="9" t="s">
        <v>27</v>
      </c>
      <c r="G120" s="30" t="s">
        <v>297</v>
      </c>
      <c r="H120" s="14">
        <f t="shared" si="3"/>
        <v>26.662909836065577</v>
      </c>
      <c r="I120" s="14">
        <f t="shared" si="4"/>
        <v>26.662909836065577</v>
      </c>
      <c r="J120" s="14"/>
      <c r="K120" s="14" t="str">
        <f t="shared" si="5"/>
        <v>ELCWST</v>
      </c>
    </row>
    <row r="121" spans="2:11" ht="13.2">
      <c r="B121" s="9" t="s">
        <v>458</v>
      </c>
      <c r="C121" t="s">
        <v>8</v>
      </c>
      <c r="D121" s="6">
        <v>2028</v>
      </c>
      <c r="E121" t="s">
        <v>79</v>
      </c>
      <c r="F121" s="9" t="s">
        <v>27</v>
      </c>
      <c r="G121" s="30" t="s">
        <v>297</v>
      </c>
      <c r="H121" s="14">
        <f t="shared" si="3"/>
        <v>26.662909836065577</v>
      </c>
      <c r="I121" s="14">
        <f t="shared" si="4"/>
        <v>26.662909836065577</v>
      </c>
      <c r="J121" s="14"/>
      <c r="K121" s="14" t="str">
        <f t="shared" si="5"/>
        <v>ELCWST</v>
      </c>
    </row>
    <row r="122" spans="2:11" ht="13.2">
      <c r="B122" s="9" t="s">
        <v>458</v>
      </c>
      <c r="C122" t="s">
        <v>8</v>
      </c>
      <c r="D122" s="6">
        <v>2029</v>
      </c>
      <c r="E122" t="s">
        <v>79</v>
      </c>
      <c r="F122" s="9" t="s">
        <v>27</v>
      </c>
      <c r="G122" s="30" t="s">
        <v>297</v>
      </c>
      <c r="H122" s="14">
        <f t="shared" si="3"/>
        <v>26.662909836065577</v>
      </c>
      <c r="I122" s="14">
        <f t="shared" si="4"/>
        <v>26.662909836065577</v>
      </c>
      <c r="J122" s="14"/>
      <c r="K122" s="14" t="str">
        <f t="shared" si="5"/>
        <v>ELCWST</v>
      </c>
    </row>
    <row r="123" spans="2:11" ht="13.2">
      <c r="B123" s="9" t="s">
        <v>458</v>
      </c>
      <c r="C123" t="s">
        <v>8</v>
      </c>
      <c r="D123" s="6">
        <v>2030</v>
      </c>
      <c r="E123" t="s">
        <v>79</v>
      </c>
      <c r="F123" s="9" t="s">
        <v>27</v>
      </c>
      <c r="G123" s="30" t="s">
        <v>297</v>
      </c>
      <c r="H123" s="14">
        <f t="shared" si="3"/>
        <v>26.662909836065577</v>
      </c>
      <c r="I123" s="14">
        <f t="shared" si="4"/>
        <v>26.662909836065577</v>
      </c>
      <c r="J123" s="14"/>
      <c r="K123" s="14" t="str">
        <f t="shared" si="5"/>
        <v>ELCWST</v>
      </c>
    </row>
    <row r="124" spans="2:11" ht="13.2">
      <c r="B124" s="9" t="s">
        <v>458</v>
      </c>
      <c r="C124" t="s">
        <v>8</v>
      </c>
      <c r="D124" s="6">
        <v>2031</v>
      </c>
      <c r="E124" t="s">
        <v>79</v>
      </c>
      <c r="F124" s="9" t="s">
        <v>27</v>
      </c>
      <c r="G124" s="30" t="s">
        <v>297</v>
      </c>
      <c r="H124" s="14">
        <f t="shared" si="3"/>
        <v>26.662909836065577</v>
      </c>
      <c r="I124" s="14">
        <f t="shared" si="4"/>
        <v>26.662909836065577</v>
      </c>
      <c r="J124" s="14"/>
      <c r="K124" s="14" t="str">
        <f t="shared" si="5"/>
        <v>ELCWST</v>
      </c>
    </row>
    <row r="125" spans="2:11" ht="13.2">
      <c r="B125" s="9" t="s">
        <v>458</v>
      </c>
      <c r="C125" t="s">
        <v>8</v>
      </c>
      <c r="D125" s="6">
        <v>2032</v>
      </c>
      <c r="E125" t="s">
        <v>79</v>
      </c>
      <c r="F125" s="9" t="s">
        <v>27</v>
      </c>
      <c r="G125" s="30" t="s">
        <v>297</v>
      </c>
      <c r="H125" s="14">
        <f t="shared" si="3"/>
        <v>26.662909836065577</v>
      </c>
      <c r="I125" s="14">
        <f t="shared" si="4"/>
        <v>26.662909836065577</v>
      </c>
      <c r="J125" s="14"/>
      <c r="K125" s="14" t="str">
        <f t="shared" si="5"/>
        <v>ELCWST</v>
      </c>
    </row>
    <row r="126" spans="2:11" ht="13.2">
      <c r="B126" s="9" t="s">
        <v>458</v>
      </c>
      <c r="C126" t="s">
        <v>8</v>
      </c>
      <c r="D126" s="6">
        <v>2033</v>
      </c>
      <c r="E126" t="s">
        <v>79</v>
      </c>
      <c r="F126" s="9" t="s">
        <v>27</v>
      </c>
      <c r="G126" s="30" t="s">
        <v>297</v>
      </c>
      <c r="H126" s="14">
        <f t="shared" si="3"/>
        <v>26.662909836065577</v>
      </c>
      <c r="I126" s="14">
        <f t="shared" si="4"/>
        <v>26.662909836065577</v>
      </c>
      <c r="J126" s="14"/>
      <c r="K126" s="14" t="str">
        <f t="shared" si="5"/>
        <v>ELCWST</v>
      </c>
    </row>
    <row r="127" spans="2:11" ht="13.2">
      <c r="B127" s="9" t="s">
        <v>458</v>
      </c>
      <c r="C127" t="s">
        <v>8</v>
      </c>
      <c r="D127" s="6">
        <v>2034</v>
      </c>
      <c r="E127" t="s">
        <v>79</v>
      </c>
      <c r="F127" s="9" t="s">
        <v>27</v>
      </c>
      <c r="G127" s="30" t="s">
        <v>297</v>
      </c>
      <c r="H127" s="14">
        <f t="shared" si="3"/>
        <v>26.662909836065577</v>
      </c>
      <c r="I127" s="14">
        <f t="shared" si="4"/>
        <v>26.662909836065577</v>
      </c>
      <c r="J127" s="14"/>
      <c r="K127" s="14" t="str">
        <f t="shared" si="5"/>
        <v>ELCWST</v>
      </c>
    </row>
    <row r="128" spans="2:11" ht="13.2">
      <c r="B128" s="9" t="s">
        <v>458</v>
      </c>
      <c r="C128" t="s">
        <v>8</v>
      </c>
      <c r="D128" s="6">
        <v>2035</v>
      </c>
      <c r="E128" t="s">
        <v>79</v>
      </c>
      <c r="F128" s="9" t="s">
        <v>27</v>
      </c>
      <c r="G128" s="30" t="s">
        <v>297</v>
      </c>
      <c r="H128" s="14">
        <f t="shared" si="3"/>
        <v>26.662909836065577</v>
      </c>
      <c r="I128" s="14">
        <f t="shared" si="4"/>
        <v>26.662909836065577</v>
      </c>
      <c r="J128" s="14"/>
      <c r="K128" s="14" t="str">
        <f t="shared" si="5"/>
        <v>ELCWST</v>
      </c>
    </row>
    <row r="129" spans="2:11" ht="13.2">
      <c r="B129" s="9" t="s">
        <v>458</v>
      </c>
      <c r="C129" t="s">
        <v>8</v>
      </c>
      <c r="D129" s="6">
        <v>2036</v>
      </c>
      <c r="E129" t="s">
        <v>79</v>
      </c>
      <c r="F129" s="9" t="s">
        <v>27</v>
      </c>
      <c r="G129" s="30" t="s">
        <v>297</v>
      </c>
      <c r="H129" s="14">
        <f t="shared" si="3"/>
        <v>26.662909836065577</v>
      </c>
      <c r="I129" s="14">
        <f t="shared" si="4"/>
        <v>26.662909836065577</v>
      </c>
      <c r="J129" s="14"/>
      <c r="K129" s="14" t="str">
        <f t="shared" si="5"/>
        <v>ELCWST</v>
      </c>
    </row>
    <row r="130" spans="2:11" ht="13.2">
      <c r="B130" s="9" t="s">
        <v>458</v>
      </c>
      <c r="C130" t="s">
        <v>8</v>
      </c>
      <c r="D130" s="6">
        <v>2037</v>
      </c>
      <c r="E130" t="s">
        <v>79</v>
      </c>
      <c r="F130" s="9" t="s">
        <v>27</v>
      </c>
      <c r="G130" s="30" t="s">
        <v>297</v>
      </c>
      <c r="H130" s="14">
        <f t="shared" si="3"/>
        <v>26.662909836065577</v>
      </c>
      <c r="I130" s="14">
        <f t="shared" si="4"/>
        <v>26.662909836065577</v>
      </c>
      <c r="J130" s="14"/>
      <c r="K130" s="14" t="str">
        <f t="shared" si="5"/>
        <v>ELCWST</v>
      </c>
    </row>
    <row r="131" spans="2:11" ht="13.2">
      <c r="B131" s="9" t="s">
        <v>458</v>
      </c>
      <c r="C131" t="s">
        <v>8</v>
      </c>
      <c r="D131" s="6">
        <v>2038</v>
      </c>
      <c r="E131" t="s">
        <v>79</v>
      </c>
      <c r="F131" s="9" t="s">
        <v>27</v>
      </c>
      <c r="G131" s="30" t="s">
        <v>297</v>
      </c>
      <c r="H131" s="14">
        <f t="shared" si="3"/>
        <v>26.662909836065577</v>
      </c>
      <c r="I131" s="14">
        <f t="shared" si="4"/>
        <v>26.662909836065577</v>
      </c>
      <c r="J131" s="14"/>
      <c r="K131" s="14" t="str">
        <f t="shared" si="5"/>
        <v>ELCWST</v>
      </c>
    </row>
    <row r="132" spans="2:11" ht="13.2">
      <c r="B132" s="9" t="s">
        <v>458</v>
      </c>
      <c r="C132" t="s">
        <v>8</v>
      </c>
      <c r="D132" s="6">
        <v>2039</v>
      </c>
      <c r="E132" t="s">
        <v>79</v>
      </c>
      <c r="F132" s="9" t="s">
        <v>27</v>
      </c>
      <c r="G132" s="30" t="s">
        <v>297</v>
      </c>
      <c r="H132" s="14">
        <f t="shared" si="3"/>
        <v>26.662909836065577</v>
      </c>
      <c r="I132" s="14">
        <f t="shared" si="4"/>
        <v>26.662909836065577</v>
      </c>
      <c r="J132" s="14"/>
      <c r="K132" s="14" t="str">
        <f t="shared" si="5"/>
        <v>ELCWST</v>
      </c>
    </row>
    <row r="133" spans="2:11" ht="13.2">
      <c r="B133" s="9" t="s">
        <v>458</v>
      </c>
      <c r="C133" t="s">
        <v>8</v>
      </c>
      <c r="D133" s="6">
        <v>2040</v>
      </c>
      <c r="E133" t="s">
        <v>79</v>
      </c>
      <c r="F133" s="9" t="s">
        <v>27</v>
      </c>
      <c r="G133" s="30" t="s">
        <v>297</v>
      </c>
      <c r="H133" s="14">
        <f t="shared" si="3"/>
        <v>26.662909836065577</v>
      </c>
      <c r="I133" s="14">
        <f t="shared" si="4"/>
        <v>26.662909836065577</v>
      </c>
      <c r="J133" s="14"/>
      <c r="K133" s="14" t="str">
        <f t="shared" si="5"/>
        <v>ELCWST</v>
      </c>
    </row>
    <row r="134" spans="2:11" ht="13.2">
      <c r="B134" s="9" t="s">
        <v>458</v>
      </c>
      <c r="C134" t="s">
        <v>8</v>
      </c>
      <c r="D134" s="6">
        <v>2041</v>
      </c>
      <c r="E134" t="s">
        <v>79</v>
      </c>
      <c r="F134" s="9" t="s">
        <v>27</v>
      </c>
      <c r="G134" s="30" t="s">
        <v>297</v>
      </c>
      <c r="H134" s="14">
        <f t="shared" si="3"/>
        <v>26.662909836065577</v>
      </c>
      <c r="I134" s="14">
        <f t="shared" si="4"/>
        <v>26.662909836065577</v>
      </c>
      <c r="J134" s="14"/>
      <c r="K134" s="14" t="str">
        <f t="shared" si="5"/>
        <v>ELCWST</v>
      </c>
    </row>
    <row r="135" spans="2:11" ht="13.2">
      <c r="B135" s="9" t="s">
        <v>458</v>
      </c>
      <c r="C135" t="s">
        <v>8</v>
      </c>
      <c r="D135" s="6">
        <v>2042</v>
      </c>
      <c r="E135" t="s">
        <v>79</v>
      </c>
      <c r="F135" s="9" t="s">
        <v>27</v>
      </c>
      <c r="G135" s="30" t="s">
        <v>297</v>
      </c>
      <c r="H135" s="14">
        <f t="shared" si="3"/>
        <v>26.662909836065577</v>
      </c>
      <c r="I135" s="14">
        <f t="shared" si="4"/>
        <v>26.662909836065577</v>
      </c>
      <c r="J135" s="14"/>
      <c r="K135" s="14" t="str">
        <f t="shared" si="5"/>
        <v>ELCWST</v>
      </c>
    </row>
    <row r="136" spans="2:11" ht="13.2">
      <c r="B136" s="9" t="s">
        <v>458</v>
      </c>
      <c r="C136" t="s">
        <v>8</v>
      </c>
      <c r="D136" s="6">
        <v>2043</v>
      </c>
      <c r="E136" t="s">
        <v>79</v>
      </c>
      <c r="F136" s="9" t="s">
        <v>27</v>
      </c>
      <c r="G136" s="30" t="s">
        <v>297</v>
      </c>
      <c r="H136" s="14">
        <f t="shared" si="3"/>
        <v>26.662909836065577</v>
      </c>
      <c r="I136" s="14">
        <f t="shared" si="4"/>
        <v>26.662909836065577</v>
      </c>
      <c r="J136" s="14"/>
      <c r="K136" s="14" t="str">
        <f t="shared" si="5"/>
        <v>ELCWST</v>
      </c>
    </row>
    <row r="137" spans="2:11" ht="13.2">
      <c r="B137" s="9" t="s">
        <v>458</v>
      </c>
      <c r="C137" t="s">
        <v>8</v>
      </c>
      <c r="D137" s="6">
        <v>2044</v>
      </c>
      <c r="E137" t="s">
        <v>79</v>
      </c>
      <c r="F137" s="9" t="s">
        <v>27</v>
      </c>
      <c r="G137" s="30" t="s">
        <v>297</v>
      </c>
      <c r="H137" s="14">
        <f t="shared" si="3"/>
        <v>26.662909836065577</v>
      </c>
      <c r="I137" s="14">
        <f t="shared" si="4"/>
        <v>26.662909836065577</v>
      </c>
      <c r="J137" s="14"/>
      <c r="K137" s="14" t="str">
        <f t="shared" si="5"/>
        <v>ELCWST</v>
      </c>
    </row>
    <row r="138" spans="2:11" ht="13.2">
      <c r="B138" s="9" t="s">
        <v>458</v>
      </c>
      <c r="C138" t="s">
        <v>8</v>
      </c>
      <c r="D138" s="6">
        <v>2045</v>
      </c>
      <c r="E138" t="s">
        <v>79</v>
      </c>
      <c r="F138" s="9" t="s">
        <v>27</v>
      </c>
      <c r="G138" s="30" t="s">
        <v>297</v>
      </c>
      <c r="H138" s="14">
        <f t="shared" si="3"/>
        <v>26.662909836065577</v>
      </c>
      <c r="I138" s="14">
        <f t="shared" si="4"/>
        <v>26.662909836065577</v>
      </c>
      <c r="J138" s="14"/>
      <c r="K138" s="14" t="str">
        <f t="shared" si="5"/>
        <v>ELCWST</v>
      </c>
    </row>
    <row r="139" spans="2:11" ht="13.2">
      <c r="B139" s="9" t="s">
        <v>458</v>
      </c>
      <c r="C139" t="s">
        <v>8</v>
      </c>
      <c r="D139" s="6">
        <v>2046</v>
      </c>
      <c r="E139" t="s">
        <v>79</v>
      </c>
      <c r="F139" s="9" t="s">
        <v>27</v>
      </c>
      <c r="G139" s="30" t="s">
        <v>297</v>
      </c>
      <c r="H139" s="14">
        <f t="shared" si="3"/>
        <v>26.662909836065577</v>
      </c>
      <c r="I139" s="14">
        <f t="shared" si="4"/>
        <v>26.662909836065577</v>
      </c>
      <c r="J139" s="14"/>
      <c r="K139" s="14" t="str">
        <f t="shared" si="5"/>
        <v>ELCWST</v>
      </c>
    </row>
    <row r="140" spans="2:11" ht="13.2">
      <c r="B140" s="9" t="s">
        <v>458</v>
      </c>
      <c r="C140" t="s">
        <v>8</v>
      </c>
      <c r="D140" s="6">
        <v>2047</v>
      </c>
      <c r="E140" t="s">
        <v>79</v>
      </c>
      <c r="F140" s="9" t="s">
        <v>27</v>
      </c>
      <c r="G140" s="30" t="s">
        <v>297</v>
      </c>
      <c r="H140" s="14">
        <f t="shared" si="3"/>
        <v>26.662909836065577</v>
      </c>
      <c r="I140" s="14">
        <f t="shared" si="4"/>
        <v>26.662909836065577</v>
      </c>
      <c r="J140" s="14"/>
      <c r="K140" s="14" t="str">
        <f t="shared" si="5"/>
        <v>ELCWST</v>
      </c>
    </row>
    <row r="141" spans="2:11" ht="13.2">
      <c r="B141" s="9" t="s">
        <v>458</v>
      </c>
      <c r="C141" t="s">
        <v>8</v>
      </c>
      <c r="D141" s="6">
        <v>2048</v>
      </c>
      <c r="E141" t="s">
        <v>79</v>
      </c>
      <c r="F141" s="9" t="s">
        <v>27</v>
      </c>
      <c r="G141" s="30" t="s">
        <v>297</v>
      </c>
      <c r="H141" s="14">
        <f t="shared" si="3"/>
        <v>26.662909836065577</v>
      </c>
      <c r="I141" s="14">
        <f t="shared" si="4"/>
        <v>26.662909836065577</v>
      </c>
      <c r="J141" s="14"/>
      <c r="K141" s="14" t="str">
        <f t="shared" si="5"/>
        <v>ELCWST</v>
      </c>
    </row>
    <row r="142" spans="2:11" ht="13.2">
      <c r="B142" s="9" t="s">
        <v>458</v>
      </c>
      <c r="C142" t="s">
        <v>8</v>
      </c>
      <c r="D142" s="6">
        <v>2049</v>
      </c>
      <c r="E142" t="s">
        <v>79</v>
      </c>
      <c r="F142" s="9" t="s">
        <v>27</v>
      </c>
      <c r="G142" s="30" t="s">
        <v>297</v>
      </c>
      <c r="H142" s="14">
        <f t="shared" si="3"/>
        <v>26.662909836065577</v>
      </c>
      <c r="I142" s="14">
        <f t="shared" si="4"/>
        <v>26.662909836065577</v>
      </c>
      <c r="J142" s="14"/>
      <c r="K142" s="14" t="str">
        <f t="shared" si="5"/>
        <v>ELCWST</v>
      </c>
    </row>
    <row r="143" spans="2:11" ht="13.2">
      <c r="B143" s="7" t="s">
        <v>458</v>
      </c>
      <c r="C143" s="7" t="s">
        <v>8</v>
      </c>
      <c r="D143" s="6">
        <v>2050</v>
      </c>
      <c r="E143" s="7" t="s">
        <v>79</v>
      </c>
      <c r="F143" s="9" t="s">
        <v>27</v>
      </c>
      <c r="G143" s="30" t="s">
        <v>297</v>
      </c>
      <c r="H143" s="14">
        <f t="shared" si="3"/>
        <v>26.662909836065577</v>
      </c>
      <c r="I143" s="14">
        <f t="shared" si="4"/>
        <v>26.662909836065577</v>
      </c>
      <c r="J143" s="14"/>
      <c r="K143" s="14" t="str">
        <f t="shared" si="5"/>
        <v>ELCWST</v>
      </c>
    </row>
    <row r="144" spans="2:11" ht="13.2">
      <c r="B144" t="s">
        <v>458</v>
      </c>
      <c r="C144" t="s">
        <v>8</v>
      </c>
      <c r="D144" s="6">
        <v>2010</v>
      </c>
      <c r="E144" t="s">
        <v>80</v>
      </c>
      <c r="F144" s="9" t="s">
        <v>27</v>
      </c>
      <c r="G144" s="30" t="s">
        <v>297</v>
      </c>
      <c r="H144" s="14">
        <f t="shared" si="3"/>
        <v>0</v>
      </c>
      <c r="I144" s="14">
        <f t="shared" si="4"/>
        <v>0</v>
      </c>
      <c r="J144" s="14"/>
      <c r="K144" s="14" t="str">
        <f t="shared" si="5"/>
        <v>ELCSTR</v>
      </c>
    </row>
    <row r="145" spans="2:11" ht="13.2">
      <c r="B145" t="s">
        <v>458</v>
      </c>
      <c r="C145" t="s">
        <v>8</v>
      </c>
      <c r="D145" s="6">
        <v>2011</v>
      </c>
      <c r="E145" t="s">
        <v>80</v>
      </c>
      <c r="F145" s="9" t="s">
        <v>27</v>
      </c>
      <c r="G145" s="30" t="s">
        <v>297</v>
      </c>
      <c r="H145" s="14">
        <f t="shared" si="3"/>
        <v>0</v>
      </c>
      <c r="I145" s="14">
        <f t="shared" si="4"/>
        <v>0</v>
      </c>
      <c r="J145" s="14"/>
      <c r="K145" s="14" t="str">
        <f t="shared" si="5"/>
        <v>ELCSTR</v>
      </c>
    </row>
    <row r="146" spans="2:11" ht="13.2">
      <c r="B146" t="s">
        <v>458</v>
      </c>
      <c r="C146" t="s">
        <v>8</v>
      </c>
      <c r="D146" s="6">
        <v>2012</v>
      </c>
      <c r="E146" t="s">
        <v>80</v>
      </c>
      <c r="F146" s="9" t="s">
        <v>27</v>
      </c>
      <c r="G146" s="30" t="s">
        <v>297</v>
      </c>
      <c r="H146" s="14">
        <f t="shared" si="3"/>
        <v>0</v>
      </c>
      <c r="I146" s="14">
        <f t="shared" si="4"/>
        <v>0</v>
      </c>
      <c r="J146" s="14"/>
      <c r="K146" s="14" t="str">
        <f t="shared" si="5"/>
        <v>ELCSTR</v>
      </c>
    </row>
    <row r="147" spans="2:11" ht="13.2">
      <c r="B147" t="s">
        <v>458</v>
      </c>
      <c r="C147" t="s">
        <v>8</v>
      </c>
      <c r="D147" s="6">
        <v>2013</v>
      </c>
      <c r="E147" t="s">
        <v>80</v>
      </c>
      <c r="F147" s="9" t="s">
        <v>27</v>
      </c>
      <c r="G147" s="30" t="s">
        <v>297</v>
      </c>
      <c r="H147" s="14">
        <f t="shared" si="3"/>
        <v>0</v>
      </c>
      <c r="I147" s="14">
        <f t="shared" si="4"/>
        <v>0</v>
      </c>
      <c r="J147" s="14"/>
      <c r="K147" s="14" t="str">
        <f t="shared" si="5"/>
        <v>ELCSTR</v>
      </c>
    </row>
    <row r="148" spans="2:11" ht="13.2">
      <c r="B148" t="s">
        <v>458</v>
      </c>
      <c r="C148" t="s">
        <v>8</v>
      </c>
      <c r="D148" s="6">
        <v>2014</v>
      </c>
      <c r="E148" t="s">
        <v>80</v>
      </c>
      <c r="F148" s="9" t="s">
        <v>27</v>
      </c>
      <c r="G148" s="30" t="s">
        <v>297</v>
      </c>
      <c r="H148" s="14">
        <f t="shared" si="3"/>
        <v>0</v>
      </c>
      <c r="I148" s="14">
        <f t="shared" si="4"/>
        <v>0</v>
      </c>
      <c r="J148" s="14"/>
      <c r="K148" s="14" t="str">
        <f t="shared" si="5"/>
        <v>ELCSTR</v>
      </c>
    </row>
    <row r="149" spans="2:11" ht="13.2">
      <c r="B149" t="s">
        <v>458</v>
      </c>
      <c r="C149" t="s">
        <v>8</v>
      </c>
      <c r="D149" s="6">
        <v>2015</v>
      </c>
      <c r="E149" t="s">
        <v>80</v>
      </c>
      <c r="F149" s="9" t="s">
        <v>27</v>
      </c>
      <c r="G149" s="30" t="s">
        <v>297</v>
      </c>
      <c r="H149" s="14">
        <f t="shared" ref="H149:H212" si="6">HLOOKUP(K149,FuelTax2,D149-2006,FALSE)*$C$10</f>
        <v>0</v>
      </c>
      <c r="I149" s="14">
        <f t="shared" si="4"/>
        <v>0</v>
      </c>
      <c r="J149" s="14"/>
      <c r="K149" s="14" t="str">
        <f t="shared" si="5"/>
        <v>ELCSTR</v>
      </c>
    </row>
    <row r="150" spans="2:11" ht="13.2">
      <c r="B150" t="s">
        <v>458</v>
      </c>
      <c r="C150" t="s">
        <v>8</v>
      </c>
      <c r="D150" s="6">
        <v>2016</v>
      </c>
      <c r="E150" t="s">
        <v>80</v>
      </c>
      <c r="F150" s="9" t="s">
        <v>27</v>
      </c>
      <c r="G150" s="30" t="s">
        <v>297</v>
      </c>
      <c r="H150" s="14">
        <f t="shared" si="6"/>
        <v>0</v>
      </c>
      <c r="I150" s="14">
        <f t="shared" ref="I150:I213" si="7">H150</f>
        <v>0</v>
      </c>
      <c r="J150" s="14"/>
      <c r="K150" s="14" t="str">
        <f t="shared" ref="K150:K213" si="8">"ELC"&amp;LEFT(RIGHT(E150,4),3)</f>
        <v>ELCSTR</v>
      </c>
    </row>
    <row r="151" spans="2:11" ht="13.2">
      <c r="B151" t="s">
        <v>458</v>
      </c>
      <c r="C151" t="s">
        <v>8</v>
      </c>
      <c r="D151" s="6">
        <v>2017</v>
      </c>
      <c r="E151" t="s">
        <v>80</v>
      </c>
      <c r="F151" s="9" t="s">
        <v>27</v>
      </c>
      <c r="G151" s="30" t="s">
        <v>297</v>
      </c>
      <c r="H151" s="14">
        <f t="shared" si="6"/>
        <v>0</v>
      </c>
      <c r="I151" s="14">
        <f t="shared" si="7"/>
        <v>0</v>
      </c>
      <c r="J151" s="14"/>
      <c r="K151" s="14" t="str">
        <f t="shared" si="8"/>
        <v>ELCSTR</v>
      </c>
    </row>
    <row r="152" spans="2:11" ht="13.2">
      <c r="B152" t="s">
        <v>458</v>
      </c>
      <c r="C152" t="s">
        <v>8</v>
      </c>
      <c r="D152" s="6">
        <v>2018</v>
      </c>
      <c r="E152" t="s">
        <v>80</v>
      </c>
      <c r="F152" s="9" t="s">
        <v>27</v>
      </c>
      <c r="G152" s="30" t="s">
        <v>297</v>
      </c>
      <c r="H152" s="14">
        <f t="shared" si="6"/>
        <v>0</v>
      </c>
      <c r="I152" s="14">
        <f t="shared" si="7"/>
        <v>0</v>
      </c>
      <c r="J152" s="14"/>
      <c r="K152" s="14" t="str">
        <f t="shared" si="8"/>
        <v>ELCSTR</v>
      </c>
    </row>
    <row r="153" spans="2:11" ht="13.2">
      <c r="B153" t="s">
        <v>458</v>
      </c>
      <c r="C153" t="s">
        <v>8</v>
      </c>
      <c r="D153" s="6">
        <v>2019</v>
      </c>
      <c r="E153" t="s">
        <v>80</v>
      </c>
      <c r="F153" s="9" t="s">
        <v>27</v>
      </c>
      <c r="G153" s="30" t="s">
        <v>297</v>
      </c>
      <c r="H153" s="14">
        <f t="shared" si="6"/>
        <v>0</v>
      </c>
      <c r="I153" s="14">
        <f t="shared" si="7"/>
        <v>0</v>
      </c>
      <c r="J153" s="14"/>
      <c r="K153" s="14" t="str">
        <f t="shared" si="8"/>
        <v>ELCSTR</v>
      </c>
    </row>
    <row r="154" spans="2:11" ht="13.2">
      <c r="B154" t="s">
        <v>458</v>
      </c>
      <c r="C154" t="s">
        <v>8</v>
      </c>
      <c r="D154" s="6">
        <v>2020</v>
      </c>
      <c r="E154" t="s">
        <v>80</v>
      </c>
      <c r="F154" s="9" t="s">
        <v>27</v>
      </c>
      <c r="G154" s="30" t="s">
        <v>297</v>
      </c>
      <c r="H154" s="14">
        <f t="shared" si="6"/>
        <v>0</v>
      </c>
      <c r="I154" s="14">
        <f t="shared" si="7"/>
        <v>0</v>
      </c>
      <c r="J154" s="14"/>
      <c r="K154" s="14" t="str">
        <f t="shared" si="8"/>
        <v>ELCSTR</v>
      </c>
    </row>
    <row r="155" spans="2:11" ht="13.2">
      <c r="B155" t="s">
        <v>458</v>
      </c>
      <c r="C155" t="s">
        <v>8</v>
      </c>
      <c r="D155" s="6">
        <v>2021</v>
      </c>
      <c r="E155" t="s">
        <v>80</v>
      </c>
      <c r="F155" s="9" t="s">
        <v>27</v>
      </c>
      <c r="G155" s="30" t="s">
        <v>297</v>
      </c>
      <c r="H155" s="14">
        <f t="shared" si="6"/>
        <v>0</v>
      </c>
      <c r="I155" s="14">
        <f t="shared" si="7"/>
        <v>0</v>
      </c>
      <c r="J155" s="14"/>
      <c r="K155" s="14" t="str">
        <f t="shared" si="8"/>
        <v>ELCSTR</v>
      </c>
    </row>
    <row r="156" spans="2:11" ht="13.2">
      <c r="B156" t="s">
        <v>458</v>
      </c>
      <c r="C156" t="s">
        <v>8</v>
      </c>
      <c r="D156" s="6">
        <v>2022</v>
      </c>
      <c r="E156" t="s">
        <v>80</v>
      </c>
      <c r="F156" s="9" t="s">
        <v>27</v>
      </c>
      <c r="G156" s="30" t="s">
        <v>297</v>
      </c>
      <c r="H156" s="14">
        <f t="shared" si="6"/>
        <v>0</v>
      </c>
      <c r="I156" s="14">
        <f t="shared" si="7"/>
        <v>0</v>
      </c>
      <c r="J156" s="14"/>
      <c r="K156" s="14" t="str">
        <f t="shared" si="8"/>
        <v>ELCSTR</v>
      </c>
    </row>
    <row r="157" spans="2:11" ht="13.2">
      <c r="B157" t="s">
        <v>458</v>
      </c>
      <c r="C157" t="s">
        <v>8</v>
      </c>
      <c r="D157" s="6">
        <v>2023</v>
      </c>
      <c r="E157" t="s">
        <v>80</v>
      </c>
      <c r="F157" s="9" t="s">
        <v>27</v>
      </c>
      <c r="G157" s="30" t="s">
        <v>297</v>
      </c>
      <c r="H157" s="14">
        <f t="shared" si="6"/>
        <v>0</v>
      </c>
      <c r="I157" s="14">
        <f t="shared" si="7"/>
        <v>0</v>
      </c>
      <c r="J157" s="14"/>
      <c r="K157" s="14" t="str">
        <f t="shared" si="8"/>
        <v>ELCSTR</v>
      </c>
    </row>
    <row r="158" spans="2:11" ht="13.2">
      <c r="B158" t="s">
        <v>458</v>
      </c>
      <c r="C158" t="s">
        <v>8</v>
      </c>
      <c r="D158" s="6">
        <v>2024</v>
      </c>
      <c r="E158" t="s">
        <v>80</v>
      </c>
      <c r="F158" s="9" t="s">
        <v>27</v>
      </c>
      <c r="G158" s="30" t="s">
        <v>297</v>
      </c>
      <c r="H158" s="14">
        <f t="shared" si="6"/>
        <v>0</v>
      </c>
      <c r="I158" s="14">
        <f t="shared" si="7"/>
        <v>0</v>
      </c>
      <c r="J158" s="14"/>
      <c r="K158" s="14" t="str">
        <f t="shared" si="8"/>
        <v>ELCSTR</v>
      </c>
    </row>
    <row r="159" spans="2:11" ht="13.2">
      <c r="B159" t="s">
        <v>458</v>
      </c>
      <c r="C159" t="s">
        <v>8</v>
      </c>
      <c r="D159" s="6">
        <v>2025</v>
      </c>
      <c r="E159" t="s">
        <v>80</v>
      </c>
      <c r="F159" s="9" t="s">
        <v>27</v>
      </c>
      <c r="G159" s="30" t="s">
        <v>297</v>
      </c>
      <c r="H159" s="14">
        <f t="shared" si="6"/>
        <v>0</v>
      </c>
      <c r="I159" s="14">
        <f t="shared" si="7"/>
        <v>0</v>
      </c>
      <c r="J159" s="14"/>
      <c r="K159" s="14" t="str">
        <f t="shared" si="8"/>
        <v>ELCSTR</v>
      </c>
    </row>
    <row r="160" spans="2:11" ht="13.2">
      <c r="B160" t="s">
        <v>458</v>
      </c>
      <c r="C160" t="s">
        <v>8</v>
      </c>
      <c r="D160" s="6">
        <v>2026</v>
      </c>
      <c r="E160" t="s">
        <v>80</v>
      </c>
      <c r="F160" s="9" t="s">
        <v>27</v>
      </c>
      <c r="G160" s="30" t="s">
        <v>297</v>
      </c>
      <c r="H160" s="14">
        <f t="shared" si="6"/>
        <v>0</v>
      </c>
      <c r="I160" s="14">
        <f t="shared" si="7"/>
        <v>0</v>
      </c>
      <c r="J160" s="14"/>
      <c r="K160" s="14" t="str">
        <f t="shared" si="8"/>
        <v>ELCSTR</v>
      </c>
    </row>
    <row r="161" spans="2:11" ht="13.2">
      <c r="B161" t="s">
        <v>458</v>
      </c>
      <c r="C161" t="s">
        <v>8</v>
      </c>
      <c r="D161" s="6">
        <v>2027</v>
      </c>
      <c r="E161" t="s">
        <v>80</v>
      </c>
      <c r="F161" s="9" t="s">
        <v>27</v>
      </c>
      <c r="G161" s="30" t="s">
        <v>297</v>
      </c>
      <c r="H161" s="14">
        <f t="shared" si="6"/>
        <v>0</v>
      </c>
      <c r="I161" s="14">
        <f t="shared" si="7"/>
        <v>0</v>
      </c>
      <c r="J161" s="14"/>
      <c r="K161" s="14" t="str">
        <f t="shared" si="8"/>
        <v>ELCSTR</v>
      </c>
    </row>
    <row r="162" spans="2:11" ht="13.2">
      <c r="B162" t="s">
        <v>458</v>
      </c>
      <c r="C162" t="s">
        <v>8</v>
      </c>
      <c r="D162" s="6">
        <v>2028</v>
      </c>
      <c r="E162" t="s">
        <v>80</v>
      </c>
      <c r="F162" s="9" t="s">
        <v>27</v>
      </c>
      <c r="G162" s="30" t="s">
        <v>297</v>
      </c>
      <c r="H162" s="14">
        <f t="shared" si="6"/>
        <v>0</v>
      </c>
      <c r="I162" s="14">
        <f t="shared" si="7"/>
        <v>0</v>
      </c>
      <c r="J162" s="14"/>
      <c r="K162" s="14" t="str">
        <f t="shared" si="8"/>
        <v>ELCSTR</v>
      </c>
    </row>
    <row r="163" spans="2:11" ht="13.2">
      <c r="B163" t="s">
        <v>458</v>
      </c>
      <c r="C163" t="s">
        <v>8</v>
      </c>
      <c r="D163" s="6">
        <v>2029</v>
      </c>
      <c r="E163" t="s">
        <v>80</v>
      </c>
      <c r="F163" s="9" t="s">
        <v>27</v>
      </c>
      <c r="G163" s="30" t="s">
        <v>297</v>
      </c>
      <c r="H163" s="14">
        <f t="shared" si="6"/>
        <v>0</v>
      </c>
      <c r="I163" s="14">
        <f t="shared" si="7"/>
        <v>0</v>
      </c>
      <c r="J163" s="14"/>
      <c r="K163" s="14" t="str">
        <f t="shared" si="8"/>
        <v>ELCSTR</v>
      </c>
    </row>
    <row r="164" spans="2:11" ht="13.2">
      <c r="B164" t="s">
        <v>458</v>
      </c>
      <c r="C164" t="s">
        <v>8</v>
      </c>
      <c r="D164" s="6">
        <v>2030</v>
      </c>
      <c r="E164" t="s">
        <v>80</v>
      </c>
      <c r="F164" s="9" t="s">
        <v>27</v>
      </c>
      <c r="G164" s="30" t="s">
        <v>297</v>
      </c>
      <c r="H164" s="14">
        <f t="shared" si="6"/>
        <v>0</v>
      </c>
      <c r="I164" s="14">
        <f t="shared" si="7"/>
        <v>0</v>
      </c>
      <c r="J164" s="14"/>
      <c r="K164" s="14" t="str">
        <f t="shared" si="8"/>
        <v>ELCSTR</v>
      </c>
    </row>
    <row r="165" spans="2:11" ht="13.2">
      <c r="B165" t="s">
        <v>458</v>
      </c>
      <c r="C165" t="s">
        <v>8</v>
      </c>
      <c r="D165" s="6">
        <v>2031</v>
      </c>
      <c r="E165" t="s">
        <v>80</v>
      </c>
      <c r="F165" s="9" t="s">
        <v>27</v>
      </c>
      <c r="G165" s="30" t="s">
        <v>297</v>
      </c>
      <c r="H165" s="14">
        <f t="shared" si="6"/>
        <v>0</v>
      </c>
      <c r="I165" s="14">
        <f t="shared" si="7"/>
        <v>0</v>
      </c>
      <c r="J165" s="14"/>
      <c r="K165" s="14" t="str">
        <f t="shared" si="8"/>
        <v>ELCSTR</v>
      </c>
    </row>
    <row r="166" spans="2:11" ht="13.2">
      <c r="B166" t="s">
        <v>458</v>
      </c>
      <c r="C166" t="s">
        <v>8</v>
      </c>
      <c r="D166" s="6">
        <v>2032</v>
      </c>
      <c r="E166" t="s">
        <v>80</v>
      </c>
      <c r="F166" s="9" t="s">
        <v>27</v>
      </c>
      <c r="G166" s="30" t="s">
        <v>297</v>
      </c>
      <c r="H166" s="14">
        <f t="shared" si="6"/>
        <v>0</v>
      </c>
      <c r="I166" s="14">
        <f t="shared" si="7"/>
        <v>0</v>
      </c>
      <c r="J166" s="14"/>
      <c r="K166" s="14" t="str">
        <f t="shared" si="8"/>
        <v>ELCSTR</v>
      </c>
    </row>
    <row r="167" spans="2:11" ht="13.2">
      <c r="B167" t="s">
        <v>458</v>
      </c>
      <c r="C167" t="s">
        <v>8</v>
      </c>
      <c r="D167" s="6">
        <v>2033</v>
      </c>
      <c r="E167" t="s">
        <v>80</v>
      </c>
      <c r="F167" s="9" t="s">
        <v>27</v>
      </c>
      <c r="G167" s="30" t="s">
        <v>297</v>
      </c>
      <c r="H167" s="14">
        <f t="shared" si="6"/>
        <v>0</v>
      </c>
      <c r="I167" s="14">
        <f t="shared" si="7"/>
        <v>0</v>
      </c>
      <c r="J167" s="14"/>
      <c r="K167" s="14" t="str">
        <f t="shared" si="8"/>
        <v>ELCSTR</v>
      </c>
    </row>
    <row r="168" spans="2:11" ht="13.2">
      <c r="B168" t="s">
        <v>458</v>
      </c>
      <c r="C168" t="s">
        <v>8</v>
      </c>
      <c r="D168" s="6">
        <v>2034</v>
      </c>
      <c r="E168" t="s">
        <v>80</v>
      </c>
      <c r="F168" s="9" t="s">
        <v>27</v>
      </c>
      <c r="G168" s="30" t="s">
        <v>297</v>
      </c>
      <c r="H168" s="14">
        <f t="shared" si="6"/>
        <v>0</v>
      </c>
      <c r="I168" s="14">
        <f t="shared" si="7"/>
        <v>0</v>
      </c>
      <c r="J168" s="14"/>
      <c r="K168" s="14" t="str">
        <f t="shared" si="8"/>
        <v>ELCSTR</v>
      </c>
    </row>
    <row r="169" spans="2:11" ht="13.2">
      <c r="B169" t="s">
        <v>458</v>
      </c>
      <c r="C169" t="s">
        <v>8</v>
      </c>
      <c r="D169" s="6">
        <v>2035</v>
      </c>
      <c r="E169" t="s">
        <v>80</v>
      </c>
      <c r="F169" s="9" t="s">
        <v>27</v>
      </c>
      <c r="G169" s="30" t="s">
        <v>297</v>
      </c>
      <c r="H169" s="14">
        <f t="shared" si="6"/>
        <v>0</v>
      </c>
      <c r="I169" s="14">
        <f t="shared" si="7"/>
        <v>0</v>
      </c>
      <c r="J169" s="14"/>
      <c r="K169" s="14" t="str">
        <f t="shared" si="8"/>
        <v>ELCSTR</v>
      </c>
    </row>
    <row r="170" spans="2:11" ht="13.2">
      <c r="B170" t="s">
        <v>458</v>
      </c>
      <c r="C170" t="s">
        <v>8</v>
      </c>
      <c r="D170" s="6">
        <v>2036</v>
      </c>
      <c r="E170" t="s">
        <v>80</v>
      </c>
      <c r="F170" s="9" t="s">
        <v>27</v>
      </c>
      <c r="G170" s="30" t="s">
        <v>297</v>
      </c>
      <c r="H170" s="14">
        <f t="shared" si="6"/>
        <v>0</v>
      </c>
      <c r="I170" s="14">
        <f t="shared" si="7"/>
        <v>0</v>
      </c>
      <c r="J170" s="14"/>
      <c r="K170" s="14" t="str">
        <f t="shared" si="8"/>
        <v>ELCSTR</v>
      </c>
    </row>
    <row r="171" spans="2:11" ht="13.2">
      <c r="B171" t="s">
        <v>458</v>
      </c>
      <c r="C171" t="s">
        <v>8</v>
      </c>
      <c r="D171" s="6">
        <v>2037</v>
      </c>
      <c r="E171" t="s">
        <v>80</v>
      </c>
      <c r="F171" s="9" t="s">
        <v>27</v>
      </c>
      <c r="G171" s="30" t="s">
        <v>297</v>
      </c>
      <c r="H171" s="14">
        <f t="shared" si="6"/>
        <v>0</v>
      </c>
      <c r="I171" s="14">
        <f t="shared" si="7"/>
        <v>0</v>
      </c>
      <c r="J171" s="14"/>
      <c r="K171" s="14" t="str">
        <f t="shared" si="8"/>
        <v>ELCSTR</v>
      </c>
    </row>
    <row r="172" spans="2:11" ht="13.2">
      <c r="B172" t="s">
        <v>458</v>
      </c>
      <c r="C172" t="s">
        <v>8</v>
      </c>
      <c r="D172" s="6">
        <v>2038</v>
      </c>
      <c r="E172" t="s">
        <v>80</v>
      </c>
      <c r="F172" s="9" t="s">
        <v>27</v>
      </c>
      <c r="G172" s="30" t="s">
        <v>297</v>
      </c>
      <c r="H172" s="14">
        <f t="shared" si="6"/>
        <v>0</v>
      </c>
      <c r="I172" s="14">
        <f t="shared" si="7"/>
        <v>0</v>
      </c>
      <c r="J172" s="14"/>
      <c r="K172" s="14" t="str">
        <f t="shared" si="8"/>
        <v>ELCSTR</v>
      </c>
    </row>
    <row r="173" spans="2:11" ht="13.2">
      <c r="B173" t="s">
        <v>458</v>
      </c>
      <c r="C173" t="s">
        <v>8</v>
      </c>
      <c r="D173" s="6">
        <v>2039</v>
      </c>
      <c r="E173" t="s">
        <v>80</v>
      </c>
      <c r="F173" s="9" t="s">
        <v>27</v>
      </c>
      <c r="G173" s="30" t="s">
        <v>297</v>
      </c>
      <c r="H173" s="14">
        <f t="shared" si="6"/>
        <v>0</v>
      </c>
      <c r="I173" s="14">
        <f t="shared" si="7"/>
        <v>0</v>
      </c>
      <c r="J173" s="14"/>
      <c r="K173" s="14" t="str">
        <f t="shared" si="8"/>
        <v>ELCSTR</v>
      </c>
    </row>
    <row r="174" spans="2:11" ht="13.2">
      <c r="B174" t="s">
        <v>458</v>
      </c>
      <c r="C174" t="s">
        <v>8</v>
      </c>
      <c r="D174" s="6">
        <v>2040</v>
      </c>
      <c r="E174" t="s">
        <v>80</v>
      </c>
      <c r="F174" s="9" t="s">
        <v>27</v>
      </c>
      <c r="G174" s="30" t="s">
        <v>297</v>
      </c>
      <c r="H174" s="14">
        <f t="shared" si="6"/>
        <v>0</v>
      </c>
      <c r="I174" s="14">
        <f t="shared" si="7"/>
        <v>0</v>
      </c>
      <c r="J174" s="14"/>
      <c r="K174" s="14" t="str">
        <f t="shared" si="8"/>
        <v>ELCSTR</v>
      </c>
    </row>
    <row r="175" spans="2:11" ht="13.2">
      <c r="B175" t="s">
        <v>458</v>
      </c>
      <c r="C175" t="s">
        <v>8</v>
      </c>
      <c r="D175" s="6">
        <v>2041</v>
      </c>
      <c r="E175" t="s">
        <v>80</v>
      </c>
      <c r="F175" s="9" t="s">
        <v>27</v>
      </c>
      <c r="G175" s="30" t="s">
        <v>297</v>
      </c>
      <c r="H175" s="14">
        <f t="shared" si="6"/>
        <v>0</v>
      </c>
      <c r="I175" s="14">
        <f t="shared" si="7"/>
        <v>0</v>
      </c>
      <c r="J175" s="14"/>
      <c r="K175" s="14" t="str">
        <f t="shared" si="8"/>
        <v>ELCSTR</v>
      </c>
    </row>
    <row r="176" spans="2:11" ht="13.2">
      <c r="B176" t="s">
        <v>458</v>
      </c>
      <c r="C176" t="s">
        <v>8</v>
      </c>
      <c r="D176" s="6">
        <v>2042</v>
      </c>
      <c r="E176" t="s">
        <v>80</v>
      </c>
      <c r="F176" s="9" t="s">
        <v>27</v>
      </c>
      <c r="G176" s="30" t="s">
        <v>297</v>
      </c>
      <c r="H176" s="14">
        <f t="shared" si="6"/>
        <v>0</v>
      </c>
      <c r="I176" s="14">
        <f t="shared" si="7"/>
        <v>0</v>
      </c>
      <c r="J176" s="14"/>
      <c r="K176" s="14" t="str">
        <f t="shared" si="8"/>
        <v>ELCSTR</v>
      </c>
    </row>
    <row r="177" spans="2:11" ht="13.2">
      <c r="B177" t="s">
        <v>458</v>
      </c>
      <c r="C177" t="s">
        <v>8</v>
      </c>
      <c r="D177" s="6">
        <v>2043</v>
      </c>
      <c r="E177" t="s">
        <v>80</v>
      </c>
      <c r="F177" s="9" t="s">
        <v>27</v>
      </c>
      <c r="G177" s="30" t="s">
        <v>297</v>
      </c>
      <c r="H177" s="14">
        <f t="shared" si="6"/>
        <v>0</v>
      </c>
      <c r="I177" s="14">
        <f t="shared" si="7"/>
        <v>0</v>
      </c>
      <c r="J177" s="14"/>
      <c r="K177" s="14" t="str">
        <f t="shared" si="8"/>
        <v>ELCSTR</v>
      </c>
    </row>
    <row r="178" spans="2:11" ht="13.2">
      <c r="B178" t="s">
        <v>458</v>
      </c>
      <c r="C178" t="s">
        <v>8</v>
      </c>
      <c r="D178" s="6">
        <v>2044</v>
      </c>
      <c r="E178" t="s">
        <v>80</v>
      </c>
      <c r="F178" s="9" t="s">
        <v>27</v>
      </c>
      <c r="G178" s="30" t="s">
        <v>297</v>
      </c>
      <c r="H178" s="14">
        <f t="shared" si="6"/>
        <v>0</v>
      </c>
      <c r="I178" s="14">
        <f t="shared" si="7"/>
        <v>0</v>
      </c>
      <c r="J178" s="14"/>
      <c r="K178" s="14" t="str">
        <f t="shared" si="8"/>
        <v>ELCSTR</v>
      </c>
    </row>
    <row r="179" spans="2:11" ht="13.2">
      <c r="B179" t="s">
        <v>458</v>
      </c>
      <c r="C179" t="s">
        <v>8</v>
      </c>
      <c r="D179" s="6">
        <v>2045</v>
      </c>
      <c r="E179" t="s">
        <v>80</v>
      </c>
      <c r="F179" s="9" t="s">
        <v>27</v>
      </c>
      <c r="G179" s="30" t="s">
        <v>297</v>
      </c>
      <c r="H179" s="14">
        <f t="shared" si="6"/>
        <v>0</v>
      </c>
      <c r="I179" s="14">
        <f t="shared" si="7"/>
        <v>0</v>
      </c>
      <c r="J179" s="14"/>
      <c r="K179" s="14" t="str">
        <f t="shared" si="8"/>
        <v>ELCSTR</v>
      </c>
    </row>
    <row r="180" spans="2:11" ht="13.2">
      <c r="B180" t="s">
        <v>458</v>
      </c>
      <c r="C180" t="s">
        <v>8</v>
      </c>
      <c r="D180" s="6">
        <v>2046</v>
      </c>
      <c r="E180" t="s">
        <v>80</v>
      </c>
      <c r="F180" s="9" t="s">
        <v>27</v>
      </c>
      <c r="G180" s="30" t="s">
        <v>297</v>
      </c>
      <c r="H180" s="14">
        <f t="shared" si="6"/>
        <v>0</v>
      </c>
      <c r="I180" s="14">
        <f t="shared" si="7"/>
        <v>0</v>
      </c>
      <c r="J180" s="14"/>
      <c r="K180" s="14" t="str">
        <f t="shared" si="8"/>
        <v>ELCSTR</v>
      </c>
    </row>
    <row r="181" spans="2:11" ht="13.2">
      <c r="B181" t="s">
        <v>458</v>
      </c>
      <c r="C181" t="s">
        <v>8</v>
      </c>
      <c r="D181" s="6">
        <v>2047</v>
      </c>
      <c r="E181" t="s">
        <v>80</v>
      </c>
      <c r="F181" s="9" t="s">
        <v>27</v>
      </c>
      <c r="G181" s="30" t="s">
        <v>297</v>
      </c>
      <c r="H181" s="14">
        <f t="shared" si="6"/>
        <v>0</v>
      </c>
      <c r="I181" s="14">
        <f t="shared" si="7"/>
        <v>0</v>
      </c>
      <c r="J181" s="14"/>
      <c r="K181" s="14" t="str">
        <f t="shared" si="8"/>
        <v>ELCSTR</v>
      </c>
    </row>
    <row r="182" spans="2:11" ht="13.2">
      <c r="B182" t="s">
        <v>458</v>
      </c>
      <c r="C182" t="s">
        <v>8</v>
      </c>
      <c r="D182" s="6">
        <v>2048</v>
      </c>
      <c r="E182" t="s">
        <v>80</v>
      </c>
      <c r="F182" s="9" t="s">
        <v>27</v>
      </c>
      <c r="G182" s="30" t="s">
        <v>297</v>
      </c>
      <c r="H182" s="14">
        <f t="shared" si="6"/>
        <v>0</v>
      </c>
      <c r="I182" s="14">
        <f t="shared" si="7"/>
        <v>0</v>
      </c>
      <c r="J182" s="14"/>
      <c r="K182" s="14" t="str">
        <f t="shared" si="8"/>
        <v>ELCSTR</v>
      </c>
    </row>
    <row r="183" spans="2:11" ht="13.2">
      <c r="B183" t="s">
        <v>458</v>
      </c>
      <c r="C183" t="s">
        <v>8</v>
      </c>
      <c r="D183" s="6">
        <v>2049</v>
      </c>
      <c r="E183" t="s">
        <v>80</v>
      </c>
      <c r="F183" s="9" t="s">
        <v>27</v>
      </c>
      <c r="G183" s="30" t="s">
        <v>297</v>
      </c>
      <c r="H183" s="14">
        <f t="shared" si="6"/>
        <v>0</v>
      </c>
      <c r="I183" s="14">
        <f t="shared" si="7"/>
        <v>0</v>
      </c>
      <c r="J183" s="14"/>
      <c r="K183" s="14" t="str">
        <f t="shared" si="8"/>
        <v>ELCSTR</v>
      </c>
    </row>
    <row r="184" spans="2:11" ht="13.2">
      <c r="B184" s="7" t="s">
        <v>458</v>
      </c>
      <c r="C184" s="7" t="s">
        <v>8</v>
      </c>
      <c r="D184" s="8">
        <v>2050</v>
      </c>
      <c r="E184" s="7" t="s">
        <v>80</v>
      </c>
      <c r="F184" s="9" t="s">
        <v>27</v>
      </c>
      <c r="G184" s="30" t="s">
        <v>297</v>
      </c>
      <c r="H184" s="14">
        <f t="shared" si="6"/>
        <v>0</v>
      </c>
      <c r="I184" s="14">
        <f t="shared" si="7"/>
        <v>0</v>
      </c>
      <c r="J184" s="14"/>
      <c r="K184" s="14" t="str">
        <f t="shared" si="8"/>
        <v>ELCSTR</v>
      </c>
    </row>
    <row r="185" spans="2:11" ht="13.2">
      <c r="B185" t="s">
        <v>458</v>
      </c>
      <c r="C185" t="s">
        <v>8</v>
      </c>
      <c r="D185" s="6">
        <v>2010</v>
      </c>
      <c r="E185" t="s">
        <v>81</v>
      </c>
      <c r="F185" s="9" t="s">
        <v>27</v>
      </c>
      <c r="G185" s="30" t="s">
        <v>297</v>
      </c>
      <c r="H185" s="14">
        <f t="shared" si="6"/>
        <v>49.10483412971962</v>
      </c>
      <c r="I185" s="14">
        <f t="shared" si="7"/>
        <v>49.10483412971962</v>
      </c>
      <c r="J185" s="14"/>
      <c r="K185" s="14" t="str">
        <f t="shared" si="8"/>
        <v>ELCBGA</v>
      </c>
    </row>
    <row r="186" spans="2:11" ht="13.2">
      <c r="B186" t="s">
        <v>458</v>
      </c>
      <c r="C186" t="s">
        <v>8</v>
      </c>
      <c r="D186" s="6">
        <v>2011</v>
      </c>
      <c r="E186" t="s">
        <v>81</v>
      </c>
      <c r="F186" s="9" t="s">
        <v>27</v>
      </c>
      <c r="G186" s="30" t="s">
        <v>297</v>
      </c>
      <c r="H186" s="14">
        <f t="shared" si="6"/>
        <v>48.721608572358001</v>
      </c>
      <c r="I186" s="14">
        <f t="shared" si="7"/>
        <v>48.721608572358001</v>
      </c>
      <c r="J186" s="14"/>
      <c r="K186" s="14" t="str">
        <f t="shared" si="8"/>
        <v>ELCBGA</v>
      </c>
    </row>
    <row r="187" spans="2:11" ht="13.2">
      <c r="B187" t="s">
        <v>458</v>
      </c>
      <c r="C187" t="s">
        <v>8</v>
      </c>
      <c r="D187" s="6">
        <v>2012</v>
      </c>
      <c r="E187" t="s">
        <v>81</v>
      </c>
      <c r="F187" s="9" t="s">
        <v>27</v>
      </c>
      <c r="G187" s="30" t="s">
        <v>297</v>
      </c>
      <c r="H187" s="14">
        <f t="shared" si="6"/>
        <v>48.736631556149753</v>
      </c>
      <c r="I187" s="14">
        <f t="shared" si="7"/>
        <v>48.736631556149753</v>
      </c>
      <c r="J187" s="14"/>
      <c r="K187" s="14" t="str">
        <f t="shared" si="8"/>
        <v>ELCBGA</v>
      </c>
    </row>
    <row r="188" spans="2:11" ht="13.2">
      <c r="B188" t="s">
        <v>458</v>
      </c>
      <c r="C188" t="s">
        <v>8</v>
      </c>
      <c r="D188" s="6">
        <v>2013</v>
      </c>
      <c r="E188" t="s">
        <v>81</v>
      </c>
      <c r="F188" s="9" t="s">
        <v>27</v>
      </c>
      <c r="G188" s="30" t="s">
        <v>297</v>
      </c>
      <c r="H188" s="14">
        <f t="shared" si="6"/>
        <v>49.16333179103512</v>
      </c>
      <c r="I188" s="14">
        <f t="shared" si="7"/>
        <v>49.16333179103512</v>
      </c>
      <c r="J188" s="14"/>
      <c r="K188" s="14" t="str">
        <f t="shared" si="8"/>
        <v>ELCBGA</v>
      </c>
    </row>
    <row r="189" spans="2:11" ht="13.2">
      <c r="B189" t="s">
        <v>458</v>
      </c>
      <c r="C189" t="s">
        <v>8</v>
      </c>
      <c r="D189" s="6">
        <v>2014</v>
      </c>
      <c r="E189" t="s">
        <v>81</v>
      </c>
      <c r="F189" s="9" t="s">
        <v>27</v>
      </c>
      <c r="G189" s="30" t="s">
        <v>297</v>
      </c>
      <c r="H189" s="14">
        <f t="shared" si="6"/>
        <v>49.664714867617107</v>
      </c>
      <c r="I189" s="14">
        <f t="shared" si="7"/>
        <v>49.664714867617107</v>
      </c>
      <c r="J189" s="14"/>
      <c r="K189" s="14" t="str">
        <f t="shared" si="8"/>
        <v>ELCBGA</v>
      </c>
    </row>
    <row r="190" spans="2:11" ht="13.2">
      <c r="B190" t="s">
        <v>458</v>
      </c>
      <c r="C190" t="s">
        <v>8</v>
      </c>
      <c r="D190" s="6">
        <v>2015</v>
      </c>
      <c r="E190" t="s">
        <v>81</v>
      </c>
      <c r="F190" s="9" t="s">
        <v>27</v>
      </c>
      <c r="G190" s="30" t="s">
        <v>297</v>
      </c>
      <c r="H190" s="14">
        <f t="shared" si="6"/>
        <v>45.75</v>
      </c>
      <c r="I190" s="14">
        <f t="shared" si="7"/>
        <v>45.75</v>
      </c>
      <c r="J190" s="14"/>
      <c r="K190" s="14" t="str">
        <f t="shared" si="8"/>
        <v>ELCBGA</v>
      </c>
    </row>
    <row r="191" spans="2:11" ht="13.2">
      <c r="B191" t="s">
        <v>458</v>
      </c>
      <c r="C191" t="s">
        <v>8</v>
      </c>
      <c r="D191" s="6">
        <v>2016</v>
      </c>
      <c r="E191" t="s">
        <v>81</v>
      </c>
      <c r="F191" s="9" t="s">
        <v>27</v>
      </c>
      <c r="G191" s="30" t="s">
        <v>297</v>
      </c>
      <c r="H191" s="14">
        <f t="shared" si="6"/>
        <v>45.75</v>
      </c>
      <c r="I191" s="14">
        <f t="shared" si="7"/>
        <v>45.75</v>
      </c>
      <c r="J191" s="14"/>
      <c r="K191" s="14" t="str">
        <f t="shared" si="8"/>
        <v>ELCBGA</v>
      </c>
    </row>
    <row r="192" spans="2:11" ht="13.2">
      <c r="B192" t="s">
        <v>458</v>
      </c>
      <c r="C192" t="s">
        <v>8</v>
      </c>
      <c r="D192" s="6">
        <v>2017</v>
      </c>
      <c r="E192" t="s">
        <v>81</v>
      </c>
      <c r="F192" s="9" t="s">
        <v>27</v>
      </c>
      <c r="G192" s="30" t="s">
        <v>297</v>
      </c>
      <c r="H192" s="14">
        <f t="shared" si="6"/>
        <v>45.75</v>
      </c>
      <c r="I192" s="14">
        <f t="shared" si="7"/>
        <v>45.75</v>
      </c>
      <c r="J192" s="14"/>
      <c r="K192" s="14" t="str">
        <f t="shared" si="8"/>
        <v>ELCBGA</v>
      </c>
    </row>
    <row r="193" spans="2:11" ht="13.2">
      <c r="B193" t="s">
        <v>458</v>
      </c>
      <c r="C193" t="s">
        <v>8</v>
      </c>
      <c r="D193" s="6">
        <v>2018</v>
      </c>
      <c r="E193" t="s">
        <v>81</v>
      </c>
      <c r="F193" s="9" t="s">
        <v>27</v>
      </c>
      <c r="G193" s="30" t="s">
        <v>297</v>
      </c>
      <c r="H193" s="14">
        <f t="shared" si="6"/>
        <v>45.75</v>
      </c>
      <c r="I193" s="14">
        <f t="shared" si="7"/>
        <v>45.75</v>
      </c>
      <c r="J193" s="14"/>
      <c r="K193" s="14" t="str">
        <f t="shared" si="8"/>
        <v>ELCBGA</v>
      </c>
    </row>
    <row r="194" spans="2:11" ht="13.2">
      <c r="B194" t="s">
        <v>458</v>
      </c>
      <c r="C194" t="s">
        <v>8</v>
      </c>
      <c r="D194" s="6">
        <v>2019</v>
      </c>
      <c r="E194" t="s">
        <v>81</v>
      </c>
      <c r="F194" s="9" t="s">
        <v>27</v>
      </c>
      <c r="G194" s="30" t="s">
        <v>297</v>
      </c>
      <c r="H194" s="14">
        <f t="shared" si="6"/>
        <v>45.75</v>
      </c>
      <c r="I194" s="14">
        <f t="shared" si="7"/>
        <v>45.75</v>
      </c>
      <c r="J194" s="14"/>
      <c r="K194" s="14" t="str">
        <f t="shared" si="8"/>
        <v>ELCBGA</v>
      </c>
    </row>
    <row r="195" spans="2:11" ht="13.2">
      <c r="B195" t="s">
        <v>458</v>
      </c>
      <c r="C195" t="s">
        <v>8</v>
      </c>
      <c r="D195" s="6">
        <v>2020</v>
      </c>
      <c r="E195" t="s">
        <v>81</v>
      </c>
      <c r="F195" s="9" t="s">
        <v>27</v>
      </c>
      <c r="G195" s="30" t="s">
        <v>297</v>
      </c>
      <c r="H195" s="14">
        <f t="shared" si="6"/>
        <v>45.75</v>
      </c>
      <c r="I195" s="14">
        <f t="shared" si="7"/>
        <v>45.75</v>
      </c>
      <c r="J195" s="14"/>
      <c r="K195" s="14" t="str">
        <f t="shared" si="8"/>
        <v>ELCBGA</v>
      </c>
    </row>
    <row r="196" spans="2:11" ht="13.2">
      <c r="B196" t="s">
        <v>458</v>
      </c>
      <c r="C196" t="s">
        <v>8</v>
      </c>
      <c r="D196" s="6">
        <v>2021</v>
      </c>
      <c r="E196" t="s">
        <v>81</v>
      </c>
      <c r="F196" s="9" t="s">
        <v>27</v>
      </c>
      <c r="G196" s="30" t="s">
        <v>297</v>
      </c>
      <c r="H196" s="14">
        <f t="shared" si="6"/>
        <v>45.75</v>
      </c>
      <c r="I196" s="14">
        <f t="shared" si="7"/>
        <v>45.75</v>
      </c>
      <c r="J196" s="14"/>
      <c r="K196" s="14" t="str">
        <f t="shared" si="8"/>
        <v>ELCBGA</v>
      </c>
    </row>
    <row r="197" spans="2:11" ht="13.2">
      <c r="B197" t="s">
        <v>458</v>
      </c>
      <c r="C197" t="s">
        <v>8</v>
      </c>
      <c r="D197" s="6">
        <v>2022</v>
      </c>
      <c r="E197" t="s">
        <v>81</v>
      </c>
      <c r="F197" s="9" t="s">
        <v>27</v>
      </c>
      <c r="G197" s="30" t="s">
        <v>297</v>
      </c>
      <c r="H197" s="14">
        <f t="shared" si="6"/>
        <v>45.75</v>
      </c>
      <c r="I197" s="14">
        <f t="shared" si="7"/>
        <v>45.75</v>
      </c>
      <c r="J197" s="14"/>
      <c r="K197" s="14" t="str">
        <f t="shared" si="8"/>
        <v>ELCBGA</v>
      </c>
    </row>
    <row r="198" spans="2:11" ht="13.2">
      <c r="B198" t="s">
        <v>458</v>
      </c>
      <c r="C198" t="s">
        <v>8</v>
      </c>
      <c r="D198" s="6">
        <v>2023</v>
      </c>
      <c r="E198" t="s">
        <v>81</v>
      </c>
      <c r="F198" s="9" t="s">
        <v>27</v>
      </c>
      <c r="G198" s="30" t="s">
        <v>297</v>
      </c>
      <c r="H198" s="14">
        <f t="shared" si="6"/>
        <v>45.75</v>
      </c>
      <c r="I198" s="14">
        <f t="shared" si="7"/>
        <v>45.75</v>
      </c>
      <c r="J198" s="14"/>
      <c r="K198" s="14" t="str">
        <f t="shared" si="8"/>
        <v>ELCBGA</v>
      </c>
    </row>
    <row r="199" spans="2:11" ht="13.2">
      <c r="B199" t="s">
        <v>458</v>
      </c>
      <c r="C199" t="s">
        <v>8</v>
      </c>
      <c r="D199" s="6">
        <v>2024</v>
      </c>
      <c r="E199" t="s">
        <v>81</v>
      </c>
      <c r="F199" s="9" t="s">
        <v>27</v>
      </c>
      <c r="G199" s="30" t="s">
        <v>297</v>
      </c>
      <c r="H199" s="14">
        <f t="shared" si="6"/>
        <v>45.75</v>
      </c>
      <c r="I199" s="14">
        <f t="shared" si="7"/>
        <v>45.75</v>
      </c>
      <c r="J199" s="14"/>
      <c r="K199" s="14" t="str">
        <f t="shared" si="8"/>
        <v>ELCBGA</v>
      </c>
    </row>
    <row r="200" spans="2:11" ht="13.2">
      <c r="B200" t="s">
        <v>458</v>
      </c>
      <c r="C200" t="s">
        <v>8</v>
      </c>
      <c r="D200" s="6">
        <v>2025</v>
      </c>
      <c r="E200" t="s">
        <v>81</v>
      </c>
      <c r="F200" s="9" t="s">
        <v>27</v>
      </c>
      <c r="G200" s="30" t="s">
        <v>297</v>
      </c>
      <c r="H200" s="14">
        <f t="shared" si="6"/>
        <v>45.75</v>
      </c>
      <c r="I200" s="14">
        <f t="shared" si="7"/>
        <v>45.75</v>
      </c>
      <c r="J200" s="14"/>
      <c r="K200" s="14" t="str">
        <f t="shared" si="8"/>
        <v>ELCBGA</v>
      </c>
    </row>
    <row r="201" spans="2:11" ht="13.2">
      <c r="B201" t="s">
        <v>458</v>
      </c>
      <c r="C201" t="s">
        <v>8</v>
      </c>
      <c r="D201" s="6">
        <v>2026</v>
      </c>
      <c r="E201" t="s">
        <v>81</v>
      </c>
      <c r="F201" s="9" t="s">
        <v>27</v>
      </c>
      <c r="G201" s="30" t="s">
        <v>297</v>
      </c>
      <c r="H201" s="14">
        <f t="shared" si="6"/>
        <v>45.75</v>
      </c>
      <c r="I201" s="14">
        <f t="shared" si="7"/>
        <v>45.75</v>
      </c>
      <c r="J201" s="14"/>
      <c r="K201" s="14" t="str">
        <f t="shared" si="8"/>
        <v>ELCBGA</v>
      </c>
    </row>
    <row r="202" spans="2:11" ht="13.2">
      <c r="B202" t="s">
        <v>458</v>
      </c>
      <c r="C202" t="s">
        <v>8</v>
      </c>
      <c r="D202" s="6">
        <v>2027</v>
      </c>
      <c r="E202" t="s">
        <v>81</v>
      </c>
      <c r="F202" s="9" t="s">
        <v>27</v>
      </c>
      <c r="G202" s="30" t="s">
        <v>297</v>
      </c>
      <c r="H202" s="14">
        <f t="shared" si="6"/>
        <v>45.75</v>
      </c>
      <c r="I202" s="14">
        <f t="shared" si="7"/>
        <v>45.75</v>
      </c>
      <c r="J202" s="14"/>
      <c r="K202" s="14" t="str">
        <f t="shared" si="8"/>
        <v>ELCBGA</v>
      </c>
    </row>
    <row r="203" spans="2:11" ht="13.2">
      <c r="B203" t="s">
        <v>458</v>
      </c>
      <c r="C203" t="s">
        <v>8</v>
      </c>
      <c r="D203" s="6">
        <v>2028</v>
      </c>
      <c r="E203" t="s">
        <v>81</v>
      </c>
      <c r="F203" s="9" t="s">
        <v>27</v>
      </c>
      <c r="G203" s="30" t="s">
        <v>297</v>
      </c>
      <c r="H203" s="14">
        <f t="shared" si="6"/>
        <v>45.75</v>
      </c>
      <c r="I203" s="14">
        <f t="shared" si="7"/>
        <v>45.75</v>
      </c>
      <c r="J203" s="14"/>
      <c r="K203" s="14" t="str">
        <f t="shared" si="8"/>
        <v>ELCBGA</v>
      </c>
    </row>
    <row r="204" spans="2:11" ht="13.2">
      <c r="B204" t="s">
        <v>458</v>
      </c>
      <c r="C204" t="s">
        <v>8</v>
      </c>
      <c r="D204" s="6">
        <v>2029</v>
      </c>
      <c r="E204" t="s">
        <v>81</v>
      </c>
      <c r="F204" s="9" t="s">
        <v>27</v>
      </c>
      <c r="G204" s="30" t="s">
        <v>297</v>
      </c>
      <c r="H204" s="14">
        <f t="shared" si="6"/>
        <v>45.75</v>
      </c>
      <c r="I204" s="14">
        <f t="shared" si="7"/>
        <v>45.75</v>
      </c>
      <c r="J204" s="14"/>
      <c r="K204" s="14" t="str">
        <f t="shared" si="8"/>
        <v>ELCBGA</v>
      </c>
    </row>
    <row r="205" spans="2:11" ht="13.2">
      <c r="B205" t="s">
        <v>458</v>
      </c>
      <c r="C205" t="s">
        <v>8</v>
      </c>
      <c r="D205" s="6">
        <v>2030</v>
      </c>
      <c r="E205" t="s">
        <v>81</v>
      </c>
      <c r="F205" s="9" t="s">
        <v>27</v>
      </c>
      <c r="G205" s="30" t="s">
        <v>297</v>
      </c>
      <c r="H205" s="14">
        <f t="shared" si="6"/>
        <v>45.75</v>
      </c>
      <c r="I205" s="14">
        <f t="shared" si="7"/>
        <v>45.75</v>
      </c>
      <c r="J205" s="14"/>
      <c r="K205" s="14" t="str">
        <f t="shared" si="8"/>
        <v>ELCBGA</v>
      </c>
    </row>
    <row r="206" spans="2:11" ht="13.2">
      <c r="B206" t="s">
        <v>458</v>
      </c>
      <c r="C206" t="s">
        <v>8</v>
      </c>
      <c r="D206" s="6">
        <v>2031</v>
      </c>
      <c r="E206" t="s">
        <v>81</v>
      </c>
      <c r="F206" s="9" t="s">
        <v>27</v>
      </c>
      <c r="G206" s="30" t="s">
        <v>297</v>
      </c>
      <c r="H206" s="14">
        <f t="shared" si="6"/>
        <v>45.75</v>
      </c>
      <c r="I206" s="14">
        <f t="shared" si="7"/>
        <v>45.75</v>
      </c>
      <c r="J206" s="14"/>
      <c r="K206" s="14" t="str">
        <f t="shared" si="8"/>
        <v>ELCBGA</v>
      </c>
    </row>
    <row r="207" spans="2:11" ht="13.2">
      <c r="B207" t="s">
        <v>458</v>
      </c>
      <c r="C207" t="s">
        <v>8</v>
      </c>
      <c r="D207" s="6">
        <v>2032</v>
      </c>
      <c r="E207" t="s">
        <v>81</v>
      </c>
      <c r="F207" s="9" t="s">
        <v>27</v>
      </c>
      <c r="G207" s="30" t="s">
        <v>297</v>
      </c>
      <c r="H207" s="14">
        <f t="shared" si="6"/>
        <v>45.75</v>
      </c>
      <c r="I207" s="14">
        <f t="shared" si="7"/>
        <v>45.75</v>
      </c>
      <c r="J207" s="14"/>
      <c r="K207" s="14" t="str">
        <f t="shared" si="8"/>
        <v>ELCBGA</v>
      </c>
    </row>
    <row r="208" spans="2:11" ht="13.2">
      <c r="B208" t="s">
        <v>458</v>
      </c>
      <c r="C208" t="s">
        <v>8</v>
      </c>
      <c r="D208" s="6">
        <v>2033</v>
      </c>
      <c r="E208" t="s">
        <v>81</v>
      </c>
      <c r="F208" s="9" t="s">
        <v>27</v>
      </c>
      <c r="G208" s="30" t="s">
        <v>297</v>
      </c>
      <c r="H208" s="14">
        <f t="shared" si="6"/>
        <v>45.75</v>
      </c>
      <c r="I208" s="14">
        <f t="shared" si="7"/>
        <v>45.75</v>
      </c>
      <c r="J208" s="14"/>
      <c r="K208" s="14" t="str">
        <f t="shared" si="8"/>
        <v>ELCBGA</v>
      </c>
    </row>
    <row r="209" spans="2:11" ht="13.2">
      <c r="B209" t="s">
        <v>458</v>
      </c>
      <c r="C209" t="s">
        <v>8</v>
      </c>
      <c r="D209" s="6">
        <v>2034</v>
      </c>
      <c r="E209" t="s">
        <v>81</v>
      </c>
      <c r="F209" s="9" t="s">
        <v>27</v>
      </c>
      <c r="G209" s="30" t="s">
        <v>297</v>
      </c>
      <c r="H209" s="14">
        <f t="shared" si="6"/>
        <v>45.75</v>
      </c>
      <c r="I209" s="14">
        <f t="shared" si="7"/>
        <v>45.75</v>
      </c>
      <c r="J209" s="14"/>
      <c r="K209" s="14" t="str">
        <f t="shared" si="8"/>
        <v>ELCBGA</v>
      </c>
    </row>
    <row r="210" spans="2:11" ht="13.2">
      <c r="B210" t="s">
        <v>458</v>
      </c>
      <c r="C210" t="s">
        <v>8</v>
      </c>
      <c r="D210" s="6">
        <v>2035</v>
      </c>
      <c r="E210" t="s">
        <v>81</v>
      </c>
      <c r="F210" s="9" t="s">
        <v>27</v>
      </c>
      <c r="G210" s="30" t="s">
        <v>297</v>
      </c>
      <c r="H210" s="14">
        <f t="shared" si="6"/>
        <v>45.75</v>
      </c>
      <c r="I210" s="14">
        <f t="shared" si="7"/>
        <v>45.75</v>
      </c>
      <c r="J210" s="14"/>
      <c r="K210" s="14" t="str">
        <f t="shared" si="8"/>
        <v>ELCBGA</v>
      </c>
    </row>
    <row r="211" spans="2:11" ht="13.2">
      <c r="B211" t="s">
        <v>458</v>
      </c>
      <c r="C211" t="s">
        <v>8</v>
      </c>
      <c r="D211" s="6">
        <v>2036</v>
      </c>
      <c r="E211" t="s">
        <v>81</v>
      </c>
      <c r="F211" s="9" t="s">
        <v>27</v>
      </c>
      <c r="G211" s="30" t="s">
        <v>297</v>
      </c>
      <c r="H211" s="14">
        <f t="shared" si="6"/>
        <v>45.75</v>
      </c>
      <c r="I211" s="14">
        <f t="shared" si="7"/>
        <v>45.75</v>
      </c>
      <c r="J211" s="14"/>
      <c r="K211" s="14" t="str">
        <f t="shared" si="8"/>
        <v>ELCBGA</v>
      </c>
    </row>
    <row r="212" spans="2:11" ht="13.2">
      <c r="B212" t="s">
        <v>458</v>
      </c>
      <c r="C212" t="s">
        <v>8</v>
      </c>
      <c r="D212" s="6">
        <v>2037</v>
      </c>
      <c r="E212" t="s">
        <v>81</v>
      </c>
      <c r="F212" s="9" t="s">
        <v>27</v>
      </c>
      <c r="G212" s="30" t="s">
        <v>297</v>
      </c>
      <c r="H212" s="14">
        <f t="shared" si="6"/>
        <v>45.75</v>
      </c>
      <c r="I212" s="14">
        <f t="shared" si="7"/>
        <v>45.75</v>
      </c>
      <c r="J212" s="14"/>
      <c r="K212" s="14" t="str">
        <f t="shared" si="8"/>
        <v>ELCBGA</v>
      </c>
    </row>
    <row r="213" spans="2:11" ht="13.2">
      <c r="B213" t="s">
        <v>458</v>
      </c>
      <c r="C213" t="s">
        <v>8</v>
      </c>
      <c r="D213" s="6">
        <v>2038</v>
      </c>
      <c r="E213" t="s">
        <v>81</v>
      </c>
      <c r="F213" s="9" t="s">
        <v>27</v>
      </c>
      <c r="G213" s="30" t="s">
        <v>297</v>
      </c>
      <c r="H213" s="14">
        <f t="shared" ref="H213:H253" si="9">HLOOKUP(K213,FuelTax2,D213-2006,FALSE)*$C$10</f>
        <v>45.75</v>
      </c>
      <c r="I213" s="14">
        <f t="shared" si="7"/>
        <v>45.75</v>
      </c>
      <c r="J213" s="14"/>
      <c r="K213" s="14" t="str">
        <f t="shared" si="8"/>
        <v>ELCBGA</v>
      </c>
    </row>
    <row r="214" spans="2:11" ht="13.2">
      <c r="B214" t="s">
        <v>458</v>
      </c>
      <c r="C214" t="s">
        <v>8</v>
      </c>
      <c r="D214" s="6">
        <v>2039</v>
      </c>
      <c r="E214" t="s">
        <v>81</v>
      </c>
      <c r="F214" s="9" t="s">
        <v>27</v>
      </c>
      <c r="G214" s="30" t="s">
        <v>297</v>
      </c>
      <c r="H214" s="14">
        <f t="shared" si="9"/>
        <v>45.75</v>
      </c>
      <c r="I214" s="14">
        <f t="shared" ref="I214:I266" si="10">H214</f>
        <v>45.75</v>
      </c>
      <c r="J214" s="14"/>
      <c r="K214" s="14" t="str">
        <f t="shared" ref="K214:K254" si="11">"ELC"&amp;LEFT(RIGHT(E214,4),3)</f>
        <v>ELCBGA</v>
      </c>
    </row>
    <row r="215" spans="2:11" ht="13.2">
      <c r="B215" t="s">
        <v>458</v>
      </c>
      <c r="C215" t="s">
        <v>8</v>
      </c>
      <c r="D215" s="6">
        <v>2040</v>
      </c>
      <c r="E215" t="s">
        <v>81</v>
      </c>
      <c r="F215" s="9" t="s">
        <v>27</v>
      </c>
      <c r="G215" s="30" t="s">
        <v>297</v>
      </c>
      <c r="H215" s="14">
        <f t="shared" si="9"/>
        <v>45.75</v>
      </c>
      <c r="I215" s="14">
        <f t="shared" si="10"/>
        <v>45.75</v>
      </c>
      <c r="J215" s="14"/>
      <c r="K215" s="14" t="str">
        <f t="shared" si="11"/>
        <v>ELCBGA</v>
      </c>
    </row>
    <row r="216" spans="2:11" ht="13.2">
      <c r="B216" t="s">
        <v>458</v>
      </c>
      <c r="C216" t="s">
        <v>8</v>
      </c>
      <c r="D216" s="6">
        <v>2041</v>
      </c>
      <c r="E216" t="s">
        <v>81</v>
      </c>
      <c r="F216" s="9" t="s">
        <v>27</v>
      </c>
      <c r="G216" s="30" t="s">
        <v>297</v>
      </c>
      <c r="H216" s="14">
        <f t="shared" si="9"/>
        <v>45.75</v>
      </c>
      <c r="I216" s="14">
        <f t="shared" si="10"/>
        <v>45.75</v>
      </c>
      <c r="J216" s="14"/>
      <c r="K216" s="14" t="str">
        <f t="shared" si="11"/>
        <v>ELCBGA</v>
      </c>
    </row>
    <row r="217" spans="2:11" ht="13.2">
      <c r="B217" t="s">
        <v>458</v>
      </c>
      <c r="C217" t="s">
        <v>8</v>
      </c>
      <c r="D217" s="6">
        <v>2042</v>
      </c>
      <c r="E217" t="s">
        <v>81</v>
      </c>
      <c r="F217" s="9" t="s">
        <v>27</v>
      </c>
      <c r="G217" s="30" t="s">
        <v>297</v>
      </c>
      <c r="H217" s="14">
        <f t="shared" si="9"/>
        <v>45.75</v>
      </c>
      <c r="I217" s="14">
        <f t="shared" si="10"/>
        <v>45.75</v>
      </c>
      <c r="J217" s="14"/>
      <c r="K217" s="14" t="str">
        <f t="shared" si="11"/>
        <v>ELCBGA</v>
      </c>
    </row>
    <row r="218" spans="2:11" ht="13.2">
      <c r="B218" t="s">
        <v>458</v>
      </c>
      <c r="C218" t="s">
        <v>8</v>
      </c>
      <c r="D218" s="6">
        <v>2043</v>
      </c>
      <c r="E218" t="s">
        <v>81</v>
      </c>
      <c r="F218" s="9" t="s">
        <v>27</v>
      </c>
      <c r="G218" s="30" t="s">
        <v>297</v>
      </c>
      <c r="H218" s="14">
        <f t="shared" si="9"/>
        <v>45.75</v>
      </c>
      <c r="I218" s="14">
        <f t="shared" si="10"/>
        <v>45.75</v>
      </c>
      <c r="J218" s="14"/>
      <c r="K218" s="14" t="str">
        <f t="shared" si="11"/>
        <v>ELCBGA</v>
      </c>
    </row>
    <row r="219" spans="2:11" ht="13.2">
      <c r="B219" t="s">
        <v>458</v>
      </c>
      <c r="C219" t="s">
        <v>8</v>
      </c>
      <c r="D219" s="6">
        <v>2044</v>
      </c>
      <c r="E219" t="s">
        <v>81</v>
      </c>
      <c r="F219" s="9" t="s">
        <v>27</v>
      </c>
      <c r="G219" s="30" t="s">
        <v>297</v>
      </c>
      <c r="H219" s="14">
        <f t="shared" si="9"/>
        <v>45.75</v>
      </c>
      <c r="I219" s="14">
        <f t="shared" si="10"/>
        <v>45.75</v>
      </c>
      <c r="J219" s="14"/>
      <c r="K219" s="14" t="str">
        <f t="shared" si="11"/>
        <v>ELCBGA</v>
      </c>
    </row>
    <row r="220" spans="2:11" ht="13.2">
      <c r="B220" t="s">
        <v>458</v>
      </c>
      <c r="C220" t="s">
        <v>8</v>
      </c>
      <c r="D220" s="6">
        <v>2045</v>
      </c>
      <c r="E220" t="s">
        <v>81</v>
      </c>
      <c r="F220" s="9" t="s">
        <v>27</v>
      </c>
      <c r="G220" s="30" t="s">
        <v>297</v>
      </c>
      <c r="H220" s="14">
        <f t="shared" si="9"/>
        <v>45.75</v>
      </c>
      <c r="I220" s="14">
        <f t="shared" si="10"/>
        <v>45.75</v>
      </c>
      <c r="J220" s="14"/>
      <c r="K220" s="14" t="str">
        <f t="shared" si="11"/>
        <v>ELCBGA</v>
      </c>
    </row>
    <row r="221" spans="2:11" ht="13.2">
      <c r="B221" t="s">
        <v>458</v>
      </c>
      <c r="C221" t="s">
        <v>8</v>
      </c>
      <c r="D221" s="6">
        <v>2046</v>
      </c>
      <c r="E221" t="s">
        <v>81</v>
      </c>
      <c r="F221" s="9" t="s">
        <v>27</v>
      </c>
      <c r="G221" s="30" t="s">
        <v>297</v>
      </c>
      <c r="H221" s="14">
        <f t="shared" si="9"/>
        <v>45.75</v>
      </c>
      <c r="I221" s="14">
        <f t="shared" si="10"/>
        <v>45.75</v>
      </c>
      <c r="J221" s="14"/>
      <c r="K221" s="14" t="str">
        <f t="shared" si="11"/>
        <v>ELCBGA</v>
      </c>
    </row>
    <row r="222" spans="2:11" ht="13.2">
      <c r="B222" t="s">
        <v>458</v>
      </c>
      <c r="C222" t="s">
        <v>8</v>
      </c>
      <c r="D222" s="6">
        <v>2047</v>
      </c>
      <c r="E222" t="s">
        <v>81</v>
      </c>
      <c r="F222" s="9" t="s">
        <v>27</v>
      </c>
      <c r="G222" s="30" t="s">
        <v>297</v>
      </c>
      <c r="H222" s="14">
        <f t="shared" si="9"/>
        <v>45.75</v>
      </c>
      <c r="I222" s="14">
        <f t="shared" si="10"/>
        <v>45.75</v>
      </c>
      <c r="J222" s="14"/>
      <c r="K222" s="14" t="str">
        <f t="shared" si="11"/>
        <v>ELCBGA</v>
      </c>
    </row>
    <row r="223" spans="2:11" ht="13.2">
      <c r="B223" t="s">
        <v>458</v>
      </c>
      <c r="C223" t="s">
        <v>8</v>
      </c>
      <c r="D223" s="6">
        <v>2048</v>
      </c>
      <c r="E223" t="s">
        <v>81</v>
      </c>
      <c r="F223" s="9" t="s">
        <v>27</v>
      </c>
      <c r="G223" s="30" t="s">
        <v>297</v>
      </c>
      <c r="H223" s="14">
        <f t="shared" si="9"/>
        <v>45.75</v>
      </c>
      <c r="I223" s="14">
        <f t="shared" si="10"/>
        <v>45.75</v>
      </c>
      <c r="J223" s="14"/>
      <c r="K223" s="14" t="str">
        <f t="shared" si="11"/>
        <v>ELCBGA</v>
      </c>
    </row>
    <row r="224" spans="2:11" ht="13.2">
      <c r="B224" t="s">
        <v>458</v>
      </c>
      <c r="C224" t="s">
        <v>8</v>
      </c>
      <c r="D224" s="6">
        <v>2049</v>
      </c>
      <c r="E224" t="s">
        <v>81</v>
      </c>
      <c r="F224" s="9" t="s">
        <v>27</v>
      </c>
      <c r="G224" s="30" t="s">
        <v>297</v>
      </c>
      <c r="H224" s="14">
        <f t="shared" si="9"/>
        <v>45.75</v>
      </c>
      <c r="I224" s="14">
        <f t="shared" si="10"/>
        <v>45.75</v>
      </c>
      <c r="J224" s="14"/>
      <c r="K224" s="14" t="str">
        <f t="shared" si="11"/>
        <v>ELCBGA</v>
      </c>
    </row>
    <row r="225" spans="2:11" ht="13.2">
      <c r="B225" s="7" t="s">
        <v>458</v>
      </c>
      <c r="C225" s="7" t="s">
        <v>8</v>
      </c>
      <c r="D225" s="8">
        <v>2050</v>
      </c>
      <c r="E225" s="7" t="s">
        <v>81</v>
      </c>
      <c r="F225" s="7" t="s">
        <v>27</v>
      </c>
      <c r="G225" s="35" t="s">
        <v>297</v>
      </c>
      <c r="H225" s="14">
        <f t="shared" si="9"/>
        <v>45.75</v>
      </c>
      <c r="I225" s="14">
        <f t="shared" si="10"/>
        <v>45.75</v>
      </c>
      <c r="J225" s="21"/>
      <c r="K225" s="21" t="str">
        <f t="shared" si="11"/>
        <v>ELCBGA</v>
      </c>
    </row>
    <row r="226" spans="2:11" ht="13.2">
      <c r="B226" t="s">
        <v>458</v>
      </c>
      <c r="C226" t="s">
        <v>8</v>
      </c>
      <c r="D226" s="6">
        <v>2010</v>
      </c>
      <c r="E226" t="s">
        <v>162</v>
      </c>
      <c r="F226" s="9" t="s">
        <v>27</v>
      </c>
      <c r="G226" s="30" t="s">
        <v>297</v>
      </c>
      <c r="H226" s="14">
        <f t="shared" si="9"/>
        <v>0</v>
      </c>
      <c r="I226" s="14">
        <f t="shared" si="10"/>
        <v>0</v>
      </c>
      <c r="J226" s="14"/>
      <c r="K226" s="14" t="str">
        <f t="shared" si="11"/>
        <v>ELCWCH</v>
      </c>
    </row>
    <row r="227" spans="2:11" ht="13.2">
      <c r="B227" t="s">
        <v>458</v>
      </c>
      <c r="C227" t="s">
        <v>8</v>
      </c>
      <c r="D227" s="6">
        <v>2011</v>
      </c>
      <c r="E227" t="s">
        <v>162</v>
      </c>
      <c r="F227" s="9" t="s">
        <v>27</v>
      </c>
      <c r="G227" s="30" t="s">
        <v>297</v>
      </c>
      <c r="H227" s="14">
        <f t="shared" si="9"/>
        <v>0</v>
      </c>
      <c r="I227" s="14">
        <f t="shared" si="10"/>
        <v>0</v>
      </c>
      <c r="J227" s="14"/>
      <c r="K227" s="14" t="str">
        <f t="shared" si="11"/>
        <v>ELCWCH</v>
      </c>
    </row>
    <row r="228" spans="2:11" ht="13.2">
      <c r="B228" t="s">
        <v>458</v>
      </c>
      <c r="C228" t="s">
        <v>8</v>
      </c>
      <c r="D228" s="6">
        <v>2012</v>
      </c>
      <c r="E228" t="s">
        <v>162</v>
      </c>
      <c r="F228" s="9" t="s">
        <v>27</v>
      </c>
      <c r="G228" s="30" t="s">
        <v>297</v>
      </c>
      <c r="H228" s="14">
        <f t="shared" si="9"/>
        <v>0</v>
      </c>
      <c r="I228" s="14">
        <f t="shared" si="10"/>
        <v>0</v>
      </c>
      <c r="J228" s="14"/>
      <c r="K228" s="14" t="str">
        <f t="shared" si="11"/>
        <v>ELCWCH</v>
      </c>
    </row>
    <row r="229" spans="2:11" ht="13.2">
      <c r="B229" t="s">
        <v>458</v>
      </c>
      <c r="C229" t="s">
        <v>8</v>
      </c>
      <c r="D229" s="6">
        <v>2013</v>
      </c>
      <c r="E229" t="s">
        <v>162</v>
      </c>
      <c r="F229" s="9" t="s">
        <v>27</v>
      </c>
      <c r="G229" s="30" t="s">
        <v>297</v>
      </c>
      <c r="H229" s="14">
        <f t="shared" si="9"/>
        <v>0</v>
      </c>
      <c r="I229" s="14">
        <f t="shared" si="10"/>
        <v>0</v>
      </c>
      <c r="J229" s="14"/>
      <c r="K229" s="14" t="str">
        <f t="shared" si="11"/>
        <v>ELCWCH</v>
      </c>
    </row>
    <row r="230" spans="2:11" ht="13.2">
      <c r="B230" t="s">
        <v>458</v>
      </c>
      <c r="C230" t="s">
        <v>8</v>
      </c>
      <c r="D230" s="6">
        <v>2014</v>
      </c>
      <c r="E230" t="s">
        <v>162</v>
      </c>
      <c r="F230" s="9" t="s">
        <v>27</v>
      </c>
      <c r="G230" s="30" t="s">
        <v>297</v>
      </c>
      <c r="H230" s="14">
        <f t="shared" si="9"/>
        <v>0</v>
      </c>
      <c r="I230" s="14">
        <f t="shared" si="10"/>
        <v>0</v>
      </c>
      <c r="J230" s="14"/>
      <c r="K230" s="14" t="str">
        <f t="shared" si="11"/>
        <v>ELCWCH</v>
      </c>
    </row>
    <row r="231" spans="2:11" ht="13.2">
      <c r="B231" t="s">
        <v>458</v>
      </c>
      <c r="C231" t="s">
        <v>8</v>
      </c>
      <c r="D231" s="6">
        <v>2015</v>
      </c>
      <c r="E231" t="s">
        <v>162</v>
      </c>
      <c r="F231" s="9" t="s">
        <v>27</v>
      </c>
      <c r="G231" s="30" t="s">
        <v>297</v>
      </c>
      <c r="H231" s="14">
        <f t="shared" si="9"/>
        <v>0</v>
      </c>
      <c r="I231" s="14">
        <f t="shared" si="10"/>
        <v>0</v>
      </c>
      <c r="J231" s="14"/>
      <c r="K231" s="14" t="str">
        <f t="shared" si="11"/>
        <v>ELCWCH</v>
      </c>
    </row>
    <row r="232" spans="2:11" ht="13.2">
      <c r="B232" t="s">
        <v>458</v>
      </c>
      <c r="C232" t="s">
        <v>8</v>
      </c>
      <c r="D232" s="6">
        <v>2016</v>
      </c>
      <c r="E232" t="s">
        <v>162</v>
      </c>
      <c r="F232" s="9" t="s">
        <v>27</v>
      </c>
      <c r="G232" s="30" t="s">
        <v>297</v>
      </c>
      <c r="H232" s="14">
        <f t="shared" si="9"/>
        <v>0</v>
      </c>
      <c r="I232" s="14">
        <f t="shared" si="10"/>
        <v>0</v>
      </c>
      <c r="J232" s="14"/>
      <c r="K232" s="14" t="str">
        <f t="shared" si="11"/>
        <v>ELCWCH</v>
      </c>
    </row>
    <row r="233" spans="2:11" ht="13.2">
      <c r="B233" t="s">
        <v>458</v>
      </c>
      <c r="C233" t="s">
        <v>8</v>
      </c>
      <c r="D233" s="6">
        <v>2017</v>
      </c>
      <c r="E233" t="s">
        <v>162</v>
      </c>
      <c r="F233" s="9" t="s">
        <v>27</v>
      </c>
      <c r="G233" s="30" t="s">
        <v>297</v>
      </c>
      <c r="H233" s="14">
        <f t="shared" si="9"/>
        <v>0</v>
      </c>
      <c r="I233" s="14">
        <f t="shared" si="10"/>
        <v>0</v>
      </c>
      <c r="J233" s="14"/>
      <c r="K233" s="14" t="str">
        <f t="shared" si="11"/>
        <v>ELCWCH</v>
      </c>
    </row>
    <row r="234" spans="2:11" ht="13.2">
      <c r="B234" t="s">
        <v>458</v>
      </c>
      <c r="C234" t="s">
        <v>8</v>
      </c>
      <c r="D234" s="6">
        <v>2018</v>
      </c>
      <c r="E234" t="s">
        <v>162</v>
      </c>
      <c r="F234" s="9" t="s">
        <v>27</v>
      </c>
      <c r="G234" s="30" t="s">
        <v>297</v>
      </c>
      <c r="H234" s="14">
        <f t="shared" si="9"/>
        <v>0</v>
      </c>
      <c r="I234" s="14">
        <f t="shared" si="10"/>
        <v>0</v>
      </c>
      <c r="J234" s="14"/>
      <c r="K234" s="14" t="str">
        <f t="shared" si="11"/>
        <v>ELCWCH</v>
      </c>
    </row>
    <row r="235" spans="2:11" ht="13.2">
      <c r="B235" t="s">
        <v>458</v>
      </c>
      <c r="C235" t="s">
        <v>8</v>
      </c>
      <c r="D235" s="6">
        <v>2019</v>
      </c>
      <c r="E235" t="s">
        <v>162</v>
      </c>
      <c r="F235" s="9" t="s">
        <v>27</v>
      </c>
      <c r="G235" s="30" t="s">
        <v>297</v>
      </c>
      <c r="H235" s="14">
        <f t="shared" si="9"/>
        <v>0</v>
      </c>
      <c r="I235" s="14">
        <f t="shared" si="10"/>
        <v>0</v>
      </c>
      <c r="J235" s="14"/>
      <c r="K235" s="14" t="str">
        <f t="shared" si="11"/>
        <v>ELCWCH</v>
      </c>
    </row>
    <row r="236" spans="2:11" ht="13.2">
      <c r="B236" t="s">
        <v>458</v>
      </c>
      <c r="C236" t="s">
        <v>8</v>
      </c>
      <c r="D236" s="6">
        <v>2020</v>
      </c>
      <c r="E236" t="s">
        <v>162</v>
      </c>
      <c r="F236" s="9" t="s">
        <v>27</v>
      </c>
      <c r="G236" s="30" t="s">
        <v>297</v>
      </c>
      <c r="H236" s="14">
        <f t="shared" si="9"/>
        <v>0</v>
      </c>
      <c r="I236" s="14">
        <f t="shared" si="10"/>
        <v>0</v>
      </c>
      <c r="J236" s="14"/>
      <c r="K236" s="14" t="str">
        <f t="shared" si="11"/>
        <v>ELCWCH</v>
      </c>
    </row>
    <row r="237" spans="2:11" ht="13.2">
      <c r="B237" t="s">
        <v>458</v>
      </c>
      <c r="C237" t="s">
        <v>8</v>
      </c>
      <c r="D237" s="6">
        <v>2021</v>
      </c>
      <c r="E237" t="s">
        <v>162</v>
      </c>
      <c r="F237" s="9" t="s">
        <v>27</v>
      </c>
      <c r="G237" s="30" t="s">
        <v>297</v>
      </c>
      <c r="H237" s="14">
        <f t="shared" si="9"/>
        <v>0</v>
      </c>
      <c r="I237" s="14">
        <f t="shared" si="10"/>
        <v>0</v>
      </c>
      <c r="J237" s="14"/>
      <c r="K237" s="14" t="str">
        <f t="shared" si="11"/>
        <v>ELCWCH</v>
      </c>
    </row>
    <row r="238" spans="2:11" ht="13.2">
      <c r="B238" t="s">
        <v>458</v>
      </c>
      <c r="C238" t="s">
        <v>8</v>
      </c>
      <c r="D238" s="6">
        <v>2022</v>
      </c>
      <c r="E238" t="s">
        <v>162</v>
      </c>
      <c r="F238" s="9" t="s">
        <v>27</v>
      </c>
      <c r="G238" s="30" t="s">
        <v>297</v>
      </c>
      <c r="H238" s="14">
        <f t="shared" si="9"/>
        <v>0</v>
      </c>
      <c r="I238" s="14">
        <f t="shared" si="10"/>
        <v>0</v>
      </c>
      <c r="J238" s="14"/>
      <c r="K238" s="14" t="str">
        <f t="shared" si="11"/>
        <v>ELCWCH</v>
      </c>
    </row>
    <row r="239" spans="2:11" ht="13.2">
      <c r="B239" t="s">
        <v>458</v>
      </c>
      <c r="C239" t="s">
        <v>8</v>
      </c>
      <c r="D239" s="6">
        <v>2023</v>
      </c>
      <c r="E239" t="s">
        <v>162</v>
      </c>
      <c r="F239" s="9" t="s">
        <v>27</v>
      </c>
      <c r="G239" s="30" t="s">
        <v>297</v>
      </c>
      <c r="H239" s="14">
        <f t="shared" si="9"/>
        <v>0</v>
      </c>
      <c r="I239" s="14">
        <f t="shared" si="10"/>
        <v>0</v>
      </c>
      <c r="J239" s="14"/>
      <c r="K239" s="14" t="str">
        <f t="shared" si="11"/>
        <v>ELCWCH</v>
      </c>
    </row>
    <row r="240" spans="2:11" ht="13.2">
      <c r="B240" t="s">
        <v>458</v>
      </c>
      <c r="C240" t="s">
        <v>8</v>
      </c>
      <c r="D240" s="6">
        <v>2024</v>
      </c>
      <c r="E240" t="s">
        <v>162</v>
      </c>
      <c r="F240" s="9" t="s">
        <v>27</v>
      </c>
      <c r="G240" s="30" t="s">
        <v>297</v>
      </c>
      <c r="H240" s="14">
        <f t="shared" si="9"/>
        <v>0</v>
      </c>
      <c r="I240" s="14">
        <f t="shared" si="10"/>
        <v>0</v>
      </c>
      <c r="J240" s="14"/>
      <c r="K240" s="14" t="str">
        <f t="shared" si="11"/>
        <v>ELCWCH</v>
      </c>
    </row>
    <row r="241" spans="2:11" ht="13.2">
      <c r="B241" t="s">
        <v>458</v>
      </c>
      <c r="C241" t="s">
        <v>8</v>
      </c>
      <c r="D241" s="6">
        <v>2025</v>
      </c>
      <c r="E241" t="s">
        <v>162</v>
      </c>
      <c r="F241" s="9" t="s">
        <v>27</v>
      </c>
      <c r="G241" s="30" t="s">
        <v>297</v>
      </c>
      <c r="H241" s="14">
        <f t="shared" si="9"/>
        <v>0</v>
      </c>
      <c r="I241" s="14">
        <f t="shared" si="10"/>
        <v>0</v>
      </c>
      <c r="J241" s="14"/>
      <c r="K241" s="14" t="str">
        <f t="shared" si="11"/>
        <v>ELCWCH</v>
      </c>
    </row>
    <row r="242" spans="2:11" ht="13.2">
      <c r="B242" t="s">
        <v>458</v>
      </c>
      <c r="C242" t="s">
        <v>8</v>
      </c>
      <c r="D242" s="6">
        <v>2026</v>
      </c>
      <c r="E242" t="s">
        <v>162</v>
      </c>
      <c r="F242" s="9" t="s">
        <v>27</v>
      </c>
      <c r="G242" s="30" t="s">
        <v>297</v>
      </c>
      <c r="H242" s="14">
        <f t="shared" si="9"/>
        <v>0</v>
      </c>
      <c r="I242" s="14">
        <f t="shared" si="10"/>
        <v>0</v>
      </c>
      <c r="J242" s="14"/>
      <c r="K242" s="14" t="str">
        <f t="shared" si="11"/>
        <v>ELCWCH</v>
      </c>
    </row>
    <row r="243" spans="2:11" ht="13.2">
      <c r="B243" t="s">
        <v>458</v>
      </c>
      <c r="C243" t="s">
        <v>8</v>
      </c>
      <c r="D243" s="6">
        <v>2027</v>
      </c>
      <c r="E243" t="s">
        <v>162</v>
      </c>
      <c r="F243" s="9" t="s">
        <v>27</v>
      </c>
      <c r="G243" s="30" t="s">
        <v>297</v>
      </c>
      <c r="H243" s="14">
        <f t="shared" si="9"/>
        <v>0</v>
      </c>
      <c r="I243" s="14">
        <f t="shared" si="10"/>
        <v>0</v>
      </c>
      <c r="J243" s="14"/>
      <c r="K243" s="14" t="str">
        <f t="shared" si="11"/>
        <v>ELCWCH</v>
      </c>
    </row>
    <row r="244" spans="2:11" ht="13.2">
      <c r="B244" t="s">
        <v>458</v>
      </c>
      <c r="C244" t="s">
        <v>8</v>
      </c>
      <c r="D244" s="6">
        <v>2028</v>
      </c>
      <c r="E244" t="s">
        <v>162</v>
      </c>
      <c r="F244" s="9" t="s">
        <v>27</v>
      </c>
      <c r="G244" s="30" t="s">
        <v>297</v>
      </c>
      <c r="H244" s="14">
        <f t="shared" si="9"/>
        <v>0</v>
      </c>
      <c r="I244" s="14">
        <f t="shared" si="10"/>
        <v>0</v>
      </c>
      <c r="J244" s="14"/>
      <c r="K244" s="14" t="str">
        <f t="shared" si="11"/>
        <v>ELCWCH</v>
      </c>
    </row>
    <row r="245" spans="2:11" ht="13.2">
      <c r="B245" t="s">
        <v>458</v>
      </c>
      <c r="C245" t="s">
        <v>8</v>
      </c>
      <c r="D245" s="6">
        <v>2029</v>
      </c>
      <c r="E245" t="s">
        <v>162</v>
      </c>
      <c r="F245" s="9" t="s">
        <v>27</v>
      </c>
      <c r="G245" s="30" t="s">
        <v>297</v>
      </c>
      <c r="H245" s="14">
        <f t="shared" si="9"/>
        <v>0</v>
      </c>
      <c r="I245" s="14">
        <f t="shared" si="10"/>
        <v>0</v>
      </c>
      <c r="J245" s="14"/>
      <c r="K245" s="14" t="str">
        <f t="shared" si="11"/>
        <v>ELCWCH</v>
      </c>
    </row>
    <row r="246" spans="2:11" ht="13.2">
      <c r="B246" t="s">
        <v>458</v>
      </c>
      <c r="C246" t="s">
        <v>8</v>
      </c>
      <c r="D246" s="6">
        <v>2030</v>
      </c>
      <c r="E246" t="s">
        <v>162</v>
      </c>
      <c r="F246" s="9" t="s">
        <v>27</v>
      </c>
      <c r="G246" s="30" t="s">
        <v>297</v>
      </c>
      <c r="H246" s="14">
        <f t="shared" si="9"/>
        <v>0</v>
      </c>
      <c r="I246" s="14">
        <f t="shared" si="10"/>
        <v>0</v>
      </c>
      <c r="J246" s="14"/>
      <c r="K246" s="14" t="str">
        <f t="shared" si="11"/>
        <v>ELCWCH</v>
      </c>
    </row>
    <row r="247" spans="2:11" ht="13.2">
      <c r="B247" t="s">
        <v>458</v>
      </c>
      <c r="C247" t="s">
        <v>8</v>
      </c>
      <c r="D247" s="6">
        <v>2031</v>
      </c>
      <c r="E247" t="s">
        <v>162</v>
      </c>
      <c r="F247" s="9" t="s">
        <v>27</v>
      </c>
      <c r="G247" s="30" t="s">
        <v>297</v>
      </c>
      <c r="H247" s="14">
        <f t="shared" si="9"/>
        <v>0</v>
      </c>
      <c r="I247" s="14">
        <f t="shared" si="10"/>
        <v>0</v>
      </c>
      <c r="J247" s="14"/>
      <c r="K247" s="14" t="str">
        <f t="shared" si="11"/>
        <v>ELCWCH</v>
      </c>
    </row>
    <row r="248" spans="2:11" ht="13.2">
      <c r="B248" t="s">
        <v>458</v>
      </c>
      <c r="C248" t="s">
        <v>8</v>
      </c>
      <c r="D248" s="6">
        <v>2032</v>
      </c>
      <c r="E248" t="s">
        <v>162</v>
      </c>
      <c r="F248" s="9" t="s">
        <v>27</v>
      </c>
      <c r="G248" s="30" t="s">
        <v>297</v>
      </c>
      <c r="H248" s="14">
        <f t="shared" si="9"/>
        <v>0</v>
      </c>
      <c r="I248" s="14">
        <f t="shared" si="10"/>
        <v>0</v>
      </c>
      <c r="J248" s="14"/>
      <c r="K248" s="14" t="str">
        <f t="shared" si="11"/>
        <v>ELCWCH</v>
      </c>
    </row>
    <row r="249" spans="2:11" ht="13.2">
      <c r="B249" t="s">
        <v>458</v>
      </c>
      <c r="C249" t="s">
        <v>8</v>
      </c>
      <c r="D249" s="6">
        <v>2033</v>
      </c>
      <c r="E249" t="s">
        <v>162</v>
      </c>
      <c r="F249" s="9" t="s">
        <v>27</v>
      </c>
      <c r="G249" s="30" t="s">
        <v>297</v>
      </c>
      <c r="H249" s="14">
        <f t="shared" si="9"/>
        <v>0</v>
      </c>
      <c r="I249" s="14">
        <f t="shared" si="10"/>
        <v>0</v>
      </c>
      <c r="J249" s="14"/>
      <c r="K249" s="14" t="str">
        <f t="shared" si="11"/>
        <v>ELCWCH</v>
      </c>
    </row>
    <row r="250" spans="2:11" ht="13.2">
      <c r="B250" t="s">
        <v>458</v>
      </c>
      <c r="C250" t="s">
        <v>8</v>
      </c>
      <c r="D250" s="6">
        <v>2034</v>
      </c>
      <c r="E250" t="s">
        <v>162</v>
      </c>
      <c r="F250" s="9" t="s">
        <v>27</v>
      </c>
      <c r="G250" s="30" t="s">
        <v>297</v>
      </c>
      <c r="H250" s="14">
        <f t="shared" si="9"/>
        <v>0</v>
      </c>
      <c r="I250" s="14">
        <f t="shared" si="10"/>
        <v>0</v>
      </c>
      <c r="J250" s="14"/>
      <c r="K250" s="14" t="str">
        <f t="shared" si="11"/>
        <v>ELCWCH</v>
      </c>
    </row>
    <row r="251" spans="2:11" ht="13.2">
      <c r="B251" t="s">
        <v>458</v>
      </c>
      <c r="C251" t="s">
        <v>8</v>
      </c>
      <c r="D251" s="6">
        <v>2035</v>
      </c>
      <c r="E251" t="s">
        <v>162</v>
      </c>
      <c r="F251" s="9" t="s">
        <v>27</v>
      </c>
      <c r="G251" s="30" t="s">
        <v>297</v>
      </c>
      <c r="H251" s="14">
        <f t="shared" si="9"/>
        <v>0</v>
      </c>
      <c r="I251" s="14">
        <f t="shared" si="10"/>
        <v>0</v>
      </c>
      <c r="J251" s="14"/>
      <c r="K251" s="14" t="str">
        <f t="shared" si="11"/>
        <v>ELCWCH</v>
      </c>
    </row>
    <row r="252" spans="2:11" ht="13.2">
      <c r="B252" t="s">
        <v>458</v>
      </c>
      <c r="C252" t="s">
        <v>8</v>
      </c>
      <c r="D252" s="6">
        <v>2036</v>
      </c>
      <c r="E252" t="s">
        <v>162</v>
      </c>
      <c r="F252" s="9" t="s">
        <v>27</v>
      </c>
      <c r="G252" s="30" t="s">
        <v>297</v>
      </c>
      <c r="H252" s="14">
        <f t="shared" si="9"/>
        <v>0</v>
      </c>
      <c r="I252" s="14">
        <f t="shared" si="10"/>
        <v>0</v>
      </c>
      <c r="J252" s="14"/>
      <c r="K252" s="14" t="str">
        <f t="shared" si="11"/>
        <v>ELCWCH</v>
      </c>
    </row>
    <row r="253" spans="2:11" ht="13.2">
      <c r="B253" t="s">
        <v>458</v>
      </c>
      <c r="C253" t="s">
        <v>8</v>
      </c>
      <c r="D253" s="6">
        <v>2037</v>
      </c>
      <c r="E253" t="s">
        <v>162</v>
      </c>
      <c r="F253" s="9" t="s">
        <v>27</v>
      </c>
      <c r="G253" s="30" t="s">
        <v>297</v>
      </c>
      <c r="H253" s="14">
        <f t="shared" si="9"/>
        <v>0</v>
      </c>
      <c r="I253" s="14">
        <f t="shared" si="10"/>
        <v>0</v>
      </c>
      <c r="J253" s="14"/>
      <c r="K253" s="14" t="str">
        <f t="shared" si="11"/>
        <v>ELCWCH</v>
      </c>
    </row>
    <row r="254" spans="2:11" ht="13.2">
      <c r="B254" t="s">
        <v>458</v>
      </c>
      <c r="C254" t="s">
        <v>8</v>
      </c>
      <c r="D254" s="6">
        <v>2038</v>
      </c>
      <c r="E254" t="s">
        <v>162</v>
      </c>
      <c r="F254" s="9" t="s">
        <v>27</v>
      </c>
      <c r="G254" s="30" t="s">
        <v>297</v>
      </c>
      <c r="H254" s="14">
        <f t="shared" ref="H254:H294" si="12">HLOOKUP(K254,FuelTax2,D254-2006,FALSE)*$C$10</f>
        <v>0</v>
      </c>
      <c r="I254" s="14">
        <f t="shared" si="10"/>
        <v>0</v>
      </c>
      <c r="J254" s="14"/>
      <c r="K254" s="14" t="str">
        <f t="shared" si="11"/>
        <v>ELCWCH</v>
      </c>
    </row>
    <row r="255" spans="2:11" ht="13.2">
      <c r="B255" t="s">
        <v>458</v>
      </c>
      <c r="C255" t="s">
        <v>8</v>
      </c>
      <c r="D255" s="6">
        <v>2039</v>
      </c>
      <c r="E255" t="s">
        <v>162</v>
      </c>
      <c r="F255" s="9" t="s">
        <v>27</v>
      </c>
      <c r="G255" s="30" t="s">
        <v>297</v>
      </c>
      <c r="H255" s="14">
        <f t="shared" si="12"/>
        <v>0</v>
      </c>
      <c r="I255" s="14">
        <f t="shared" si="10"/>
        <v>0</v>
      </c>
      <c r="J255" s="14"/>
      <c r="K255" s="14" t="str">
        <f t="shared" ref="K255:K266" si="13">"ELC"&amp;LEFT(RIGHT(E255,4),3)</f>
        <v>ELCWCH</v>
      </c>
    </row>
    <row r="256" spans="2:11" ht="13.2">
      <c r="B256" t="s">
        <v>458</v>
      </c>
      <c r="C256" t="s">
        <v>8</v>
      </c>
      <c r="D256" s="6">
        <v>2040</v>
      </c>
      <c r="E256" t="s">
        <v>162</v>
      </c>
      <c r="F256" s="9" t="s">
        <v>27</v>
      </c>
      <c r="G256" s="30" t="s">
        <v>297</v>
      </c>
      <c r="H256" s="14">
        <f t="shared" si="12"/>
        <v>0</v>
      </c>
      <c r="I256" s="14">
        <f t="shared" si="10"/>
        <v>0</v>
      </c>
      <c r="J256" s="14"/>
      <c r="K256" s="14" t="str">
        <f t="shared" si="13"/>
        <v>ELCWCH</v>
      </c>
    </row>
    <row r="257" spans="2:11" ht="13.2">
      <c r="B257" t="s">
        <v>458</v>
      </c>
      <c r="C257" t="s">
        <v>8</v>
      </c>
      <c r="D257" s="6">
        <v>2041</v>
      </c>
      <c r="E257" t="s">
        <v>162</v>
      </c>
      <c r="F257" s="9" t="s">
        <v>27</v>
      </c>
      <c r="G257" s="30" t="s">
        <v>297</v>
      </c>
      <c r="H257" s="14">
        <f t="shared" si="12"/>
        <v>0</v>
      </c>
      <c r="I257" s="14">
        <f t="shared" si="10"/>
        <v>0</v>
      </c>
      <c r="J257" s="14"/>
      <c r="K257" s="14" t="str">
        <f t="shared" si="13"/>
        <v>ELCWCH</v>
      </c>
    </row>
    <row r="258" spans="2:11" ht="13.2">
      <c r="B258" t="s">
        <v>458</v>
      </c>
      <c r="C258" t="s">
        <v>8</v>
      </c>
      <c r="D258" s="6">
        <v>2042</v>
      </c>
      <c r="E258" t="s">
        <v>162</v>
      </c>
      <c r="F258" s="9" t="s">
        <v>27</v>
      </c>
      <c r="G258" s="30" t="s">
        <v>297</v>
      </c>
      <c r="H258" s="14">
        <f t="shared" si="12"/>
        <v>0</v>
      </c>
      <c r="I258" s="14">
        <f t="shared" si="10"/>
        <v>0</v>
      </c>
      <c r="J258" s="14"/>
      <c r="K258" s="14" t="str">
        <f t="shared" si="13"/>
        <v>ELCWCH</v>
      </c>
    </row>
    <row r="259" spans="2:11" ht="13.2">
      <c r="B259" t="s">
        <v>458</v>
      </c>
      <c r="C259" t="s">
        <v>8</v>
      </c>
      <c r="D259" s="6">
        <v>2043</v>
      </c>
      <c r="E259" t="s">
        <v>162</v>
      </c>
      <c r="F259" s="9" t="s">
        <v>27</v>
      </c>
      <c r="G259" s="30" t="s">
        <v>297</v>
      </c>
      <c r="H259" s="14">
        <f t="shared" si="12"/>
        <v>0</v>
      </c>
      <c r="I259" s="14">
        <f t="shared" si="10"/>
        <v>0</v>
      </c>
      <c r="J259" s="14"/>
      <c r="K259" s="14" t="str">
        <f t="shared" si="13"/>
        <v>ELCWCH</v>
      </c>
    </row>
    <row r="260" spans="2:11" ht="13.2">
      <c r="B260" t="s">
        <v>458</v>
      </c>
      <c r="C260" t="s">
        <v>8</v>
      </c>
      <c r="D260" s="6">
        <v>2044</v>
      </c>
      <c r="E260" t="s">
        <v>162</v>
      </c>
      <c r="F260" s="9" t="s">
        <v>27</v>
      </c>
      <c r="G260" s="30" t="s">
        <v>297</v>
      </c>
      <c r="H260" s="14">
        <f t="shared" si="12"/>
        <v>0</v>
      </c>
      <c r="I260" s="14">
        <f t="shared" si="10"/>
        <v>0</v>
      </c>
      <c r="J260" s="14"/>
      <c r="K260" s="14" t="str">
        <f t="shared" si="13"/>
        <v>ELCWCH</v>
      </c>
    </row>
    <row r="261" spans="2:11" ht="13.2">
      <c r="B261" t="s">
        <v>458</v>
      </c>
      <c r="C261" t="s">
        <v>8</v>
      </c>
      <c r="D261" s="6">
        <v>2045</v>
      </c>
      <c r="E261" t="s">
        <v>162</v>
      </c>
      <c r="F261" s="9" t="s">
        <v>27</v>
      </c>
      <c r="G261" s="30" t="s">
        <v>297</v>
      </c>
      <c r="H261" s="14">
        <f t="shared" si="12"/>
        <v>0</v>
      </c>
      <c r="I261" s="14">
        <f t="shared" si="10"/>
        <v>0</v>
      </c>
      <c r="J261" s="14"/>
      <c r="K261" s="14" t="str">
        <f t="shared" si="13"/>
        <v>ELCWCH</v>
      </c>
    </row>
    <row r="262" spans="2:11" ht="13.2">
      <c r="B262" t="s">
        <v>458</v>
      </c>
      <c r="C262" t="s">
        <v>8</v>
      </c>
      <c r="D262" s="6">
        <v>2046</v>
      </c>
      <c r="E262" t="s">
        <v>162</v>
      </c>
      <c r="F262" s="9" t="s">
        <v>27</v>
      </c>
      <c r="G262" s="30" t="s">
        <v>297</v>
      </c>
      <c r="H262" s="14">
        <f t="shared" si="12"/>
        <v>0</v>
      </c>
      <c r="I262" s="14">
        <f t="shared" si="10"/>
        <v>0</v>
      </c>
      <c r="J262" s="14"/>
      <c r="K262" s="14" t="str">
        <f t="shared" si="13"/>
        <v>ELCWCH</v>
      </c>
    </row>
    <row r="263" spans="2:11" ht="13.2">
      <c r="B263" t="s">
        <v>458</v>
      </c>
      <c r="C263" t="s">
        <v>8</v>
      </c>
      <c r="D263" s="6">
        <v>2047</v>
      </c>
      <c r="E263" t="s">
        <v>162</v>
      </c>
      <c r="F263" s="9" t="s">
        <v>27</v>
      </c>
      <c r="G263" s="30" t="s">
        <v>297</v>
      </c>
      <c r="H263" s="14">
        <f t="shared" si="12"/>
        <v>0</v>
      </c>
      <c r="I263" s="14">
        <f t="shared" si="10"/>
        <v>0</v>
      </c>
      <c r="J263" s="14"/>
      <c r="K263" s="14" t="str">
        <f t="shared" si="13"/>
        <v>ELCWCH</v>
      </c>
    </row>
    <row r="264" spans="2:11" ht="13.2">
      <c r="B264" t="s">
        <v>458</v>
      </c>
      <c r="C264" t="s">
        <v>8</v>
      </c>
      <c r="D264" s="6">
        <v>2048</v>
      </c>
      <c r="E264" t="s">
        <v>162</v>
      </c>
      <c r="F264" s="9" t="s">
        <v>27</v>
      </c>
      <c r="G264" s="30" t="s">
        <v>297</v>
      </c>
      <c r="H264" s="14">
        <f t="shared" si="12"/>
        <v>0</v>
      </c>
      <c r="I264" s="14">
        <f t="shared" si="10"/>
        <v>0</v>
      </c>
      <c r="J264" s="14"/>
      <c r="K264" s="14" t="str">
        <f t="shared" si="13"/>
        <v>ELCWCH</v>
      </c>
    </row>
    <row r="265" spans="2:11" ht="13.2">
      <c r="B265" t="s">
        <v>458</v>
      </c>
      <c r="C265" t="s">
        <v>8</v>
      </c>
      <c r="D265" s="6">
        <v>2049</v>
      </c>
      <c r="E265" t="s">
        <v>162</v>
      </c>
      <c r="F265" s="9" t="s">
        <v>27</v>
      </c>
      <c r="G265" s="30" t="s">
        <v>297</v>
      </c>
      <c r="H265" s="14">
        <f t="shared" si="12"/>
        <v>0</v>
      </c>
      <c r="I265" s="14">
        <f t="shared" si="10"/>
        <v>0</v>
      </c>
      <c r="J265" s="14"/>
      <c r="K265" s="14" t="str">
        <f t="shared" si="13"/>
        <v>ELCWCH</v>
      </c>
    </row>
    <row r="266" spans="2:11" ht="13.2">
      <c r="B266" s="7" t="s">
        <v>458</v>
      </c>
      <c r="C266" s="7" t="s">
        <v>8</v>
      </c>
      <c r="D266" s="8">
        <v>2050</v>
      </c>
      <c r="E266" s="7" t="s">
        <v>162</v>
      </c>
      <c r="F266" s="7" t="s">
        <v>27</v>
      </c>
      <c r="G266" s="35" t="s">
        <v>297</v>
      </c>
      <c r="H266" s="21">
        <f t="shared" si="12"/>
        <v>0</v>
      </c>
      <c r="I266" s="21">
        <f t="shared" si="10"/>
        <v>0</v>
      </c>
      <c r="J266" s="21"/>
      <c r="K266" s="21" t="str">
        <f t="shared" si="13"/>
        <v>ELCWCH</v>
      </c>
    </row>
    <row r="267" spans="2:11" ht="13.2">
      <c r="B267" t="s">
        <v>458</v>
      </c>
      <c r="C267" t="s">
        <v>8</v>
      </c>
      <c r="D267" s="6">
        <v>2010</v>
      </c>
      <c r="E267" t="s">
        <v>457</v>
      </c>
      <c r="F267" s="9" t="s">
        <v>27</v>
      </c>
      <c r="G267" s="30" t="s">
        <v>297</v>
      </c>
      <c r="H267" s="14">
        <f t="shared" si="12"/>
        <v>49.10483412971962</v>
      </c>
      <c r="I267" s="14">
        <f t="shared" ref="I267:I307" si="14">H267</f>
        <v>49.10483412971962</v>
      </c>
      <c r="J267" s="14"/>
      <c r="K267" s="14" t="s">
        <v>9</v>
      </c>
    </row>
    <row r="268" spans="2:11" ht="13.2">
      <c r="B268" t="s">
        <v>458</v>
      </c>
      <c r="C268" t="s">
        <v>8</v>
      </c>
      <c r="D268" s="6">
        <v>2011</v>
      </c>
      <c r="E268" t="s">
        <v>457</v>
      </c>
      <c r="F268" s="9" t="s">
        <v>27</v>
      </c>
      <c r="G268" s="30" t="s">
        <v>297</v>
      </c>
      <c r="H268" s="14">
        <f t="shared" si="12"/>
        <v>48.721608572358001</v>
      </c>
      <c r="I268" s="14">
        <f t="shared" si="14"/>
        <v>48.721608572358001</v>
      </c>
      <c r="J268" s="14"/>
      <c r="K268" s="14" t="s">
        <v>9</v>
      </c>
    </row>
    <row r="269" spans="2:11" ht="13.2">
      <c r="B269" t="s">
        <v>458</v>
      </c>
      <c r="C269" t="s">
        <v>8</v>
      </c>
      <c r="D269" s="6">
        <v>2012</v>
      </c>
      <c r="E269" t="s">
        <v>457</v>
      </c>
      <c r="F269" s="9" t="s">
        <v>27</v>
      </c>
      <c r="G269" s="30" t="s">
        <v>297</v>
      </c>
      <c r="H269" s="14">
        <f t="shared" si="12"/>
        <v>48.736631556149753</v>
      </c>
      <c r="I269" s="14">
        <f t="shared" si="14"/>
        <v>48.736631556149753</v>
      </c>
      <c r="J269" s="14"/>
      <c r="K269" s="14" t="s">
        <v>9</v>
      </c>
    </row>
    <row r="270" spans="2:11" ht="13.2">
      <c r="B270" t="s">
        <v>458</v>
      </c>
      <c r="C270" t="s">
        <v>8</v>
      </c>
      <c r="D270" s="6">
        <v>2013</v>
      </c>
      <c r="E270" t="s">
        <v>457</v>
      </c>
      <c r="F270" s="9" t="s">
        <v>27</v>
      </c>
      <c r="G270" s="30" t="s">
        <v>297</v>
      </c>
      <c r="H270" s="14">
        <f t="shared" si="12"/>
        <v>49.16333179103512</v>
      </c>
      <c r="I270" s="14">
        <f t="shared" si="14"/>
        <v>49.16333179103512</v>
      </c>
      <c r="J270" s="14"/>
      <c r="K270" s="14" t="s">
        <v>9</v>
      </c>
    </row>
    <row r="271" spans="2:11" ht="13.2">
      <c r="B271" t="s">
        <v>458</v>
      </c>
      <c r="C271" t="s">
        <v>8</v>
      </c>
      <c r="D271" s="6">
        <v>2014</v>
      </c>
      <c r="E271" t="s">
        <v>457</v>
      </c>
      <c r="F271" s="9" t="s">
        <v>27</v>
      </c>
      <c r="G271" s="30" t="s">
        <v>297</v>
      </c>
      <c r="H271" s="14">
        <f t="shared" si="12"/>
        <v>49.664714867617107</v>
      </c>
      <c r="I271" s="14">
        <f t="shared" si="14"/>
        <v>49.664714867617107</v>
      </c>
      <c r="J271" s="14"/>
      <c r="K271" s="14" t="s">
        <v>9</v>
      </c>
    </row>
    <row r="272" spans="2:11" ht="13.2">
      <c r="B272" t="s">
        <v>458</v>
      </c>
      <c r="C272" t="s">
        <v>8</v>
      </c>
      <c r="D272" s="6">
        <v>2015</v>
      </c>
      <c r="E272" t="s">
        <v>457</v>
      </c>
      <c r="F272" s="9" t="s">
        <v>27</v>
      </c>
      <c r="G272" s="30" t="s">
        <v>297</v>
      </c>
      <c r="H272" s="14">
        <f t="shared" si="12"/>
        <v>45.75</v>
      </c>
      <c r="I272" s="14">
        <f t="shared" si="14"/>
        <v>45.75</v>
      </c>
      <c r="J272" s="14"/>
      <c r="K272" s="14" t="s">
        <v>9</v>
      </c>
    </row>
    <row r="273" spans="2:11" ht="13.2">
      <c r="B273" t="s">
        <v>458</v>
      </c>
      <c r="C273" t="s">
        <v>8</v>
      </c>
      <c r="D273" s="6">
        <v>2016</v>
      </c>
      <c r="E273" t="s">
        <v>457</v>
      </c>
      <c r="F273" s="9" t="s">
        <v>27</v>
      </c>
      <c r="G273" s="30" t="s">
        <v>297</v>
      </c>
      <c r="H273" s="14">
        <f t="shared" si="12"/>
        <v>45.75</v>
      </c>
      <c r="I273" s="14">
        <f t="shared" si="14"/>
        <v>45.75</v>
      </c>
      <c r="J273" s="14"/>
      <c r="K273" s="14" t="s">
        <v>9</v>
      </c>
    </row>
    <row r="274" spans="2:11" ht="13.2">
      <c r="B274" t="s">
        <v>458</v>
      </c>
      <c r="C274" t="s">
        <v>8</v>
      </c>
      <c r="D274" s="6">
        <v>2017</v>
      </c>
      <c r="E274" t="s">
        <v>457</v>
      </c>
      <c r="F274" s="9" t="s">
        <v>27</v>
      </c>
      <c r="G274" s="30" t="s">
        <v>297</v>
      </c>
      <c r="H274" s="14">
        <f t="shared" si="12"/>
        <v>45.75</v>
      </c>
      <c r="I274" s="14">
        <f t="shared" si="14"/>
        <v>45.75</v>
      </c>
      <c r="J274" s="14"/>
      <c r="K274" s="14" t="s">
        <v>9</v>
      </c>
    </row>
    <row r="275" spans="2:11" ht="13.2">
      <c r="B275" t="s">
        <v>458</v>
      </c>
      <c r="C275" t="s">
        <v>8</v>
      </c>
      <c r="D275" s="6">
        <v>2018</v>
      </c>
      <c r="E275" t="s">
        <v>457</v>
      </c>
      <c r="F275" s="9" t="s">
        <v>27</v>
      </c>
      <c r="G275" s="30" t="s">
        <v>297</v>
      </c>
      <c r="H275" s="14">
        <f t="shared" si="12"/>
        <v>45.75</v>
      </c>
      <c r="I275" s="14">
        <f t="shared" si="14"/>
        <v>45.75</v>
      </c>
      <c r="J275" s="14"/>
      <c r="K275" s="14" t="s">
        <v>9</v>
      </c>
    </row>
    <row r="276" spans="2:11" ht="13.2">
      <c r="B276" t="s">
        <v>458</v>
      </c>
      <c r="C276" t="s">
        <v>8</v>
      </c>
      <c r="D276" s="6">
        <v>2019</v>
      </c>
      <c r="E276" t="s">
        <v>457</v>
      </c>
      <c r="F276" s="9" t="s">
        <v>27</v>
      </c>
      <c r="G276" s="30" t="s">
        <v>297</v>
      </c>
      <c r="H276" s="14">
        <f t="shared" si="12"/>
        <v>45.75</v>
      </c>
      <c r="I276" s="14">
        <f t="shared" si="14"/>
        <v>45.75</v>
      </c>
      <c r="J276" s="14"/>
      <c r="K276" s="14" t="s">
        <v>9</v>
      </c>
    </row>
    <row r="277" spans="2:11" ht="13.2">
      <c r="B277" t="s">
        <v>458</v>
      </c>
      <c r="C277" t="s">
        <v>8</v>
      </c>
      <c r="D277" s="6">
        <v>2020</v>
      </c>
      <c r="E277" t="s">
        <v>457</v>
      </c>
      <c r="F277" s="9" t="s">
        <v>27</v>
      </c>
      <c r="G277" s="30" t="s">
        <v>297</v>
      </c>
      <c r="H277" s="14">
        <f t="shared" si="12"/>
        <v>45.75</v>
      </c>
      <c r="I277" s="14">
        <f t="shared" si="14"/>
        <v>45.75</v>
      </c>
      <c r="J277" s="14"/>
      <c r="K277" s="14" t="s">
        <v>9</v>
      </c>
    </row>
    <row r="278" spans="2:11" ht="13.2">
      <c r="B278" t="s">
        <v>458</v>
      </c>
      <c r="C278" t="s">
        <v>8</v>
      </c>
      <c r="D278" s="6">
        <v>2021</v>
      </c>
      <c r="E278" t="s">
        <v>457</v>
      </c>
      <c r="F278" s="9" t="s">
        <v>27</v>
      </c>
      <c r="G278" s="30" t="s">
        <v>297</v>
      </c>
      <c r="H278" s="14">
        <f t="shared" si="12"/>
        <v>45.75</v>
      </c>
      <c r="I278" s="14">
        <f t="shared" si="14"/>
        <v>45.75</v>
      </c>
      <c r="J278" s="14"/>
      <c r="K278" s="14" t="s">
        <v>9</v>
      </c>
    </row>
    <row r="279" spans="2:11" ht="13.2">
      <c r="B279" t="s">
        <v>458</v>
      </c>
      <c r="C279" t="s">
        <v>8</v>
      </c>
      <c r="D279" s="6">
        <v>2022</v>
      </c>
      <c r="E279" t="s">
        <v>457</v>
      </c>
      <c r="F279" s="9" t="s">
        <v>27</v>
      </c>
      <c r="G279" s="30" t="s">
        <v>297</v>
      </c>
      <c r="H279" s="14">
        <f t="shared" si="12"/>
        <v>45.75</v>
      </c>
      <c r="I279" s="14">
        <f t="shared" si="14"/>
        <v>45.75</v>
      </c>
      <c r="J279" s="14"/>
      <c r="K279" s="14" t="s">
        <v>9</v>
      </c>
    </row>
    <row r="280" spans="2:11" ht="13.2">
      <c r="B280" t="s">
        <v>458</v>
      </c>
      <c r="C280" t="s">
        <v>8</v>
      </c>
      <c r="D280" s="6">
        <v>2023</v>
      </c>
      <c r="E280" t="s">
        <v>457</v>
      </c>
      <c r="F280" s="9" t="s">
        <v>27</v>
      </c>
      <c r="G280" s="30" t="s">
        <v>297</v>
      </c>
      <c r="H280" s="14">
        <f t="shared" si="12"/>
        <v>45.75</v>
      </c>
      <c r="I280" s="14">
        <f t="shared" si="14"/>
        <v>45.75</v>
      </c>
      <c r="J280" s="14"/>
      <c r="K280" s="14" t="s">
        <v>9</v>
      </c>
    </row>
    <row r="281" spans="2:11" ht="13.2">
      <c r="B281" t="s">
        <v>458</v>
      </c>
      <c r="C281" t="s">
        <v>8</v>
      </c>
      <c r="D281" s="6">
        <v>2024</v>
      </c>
      <c r="E281" t="s">
        <v>457</v>
      </c>
      <c r="F281" s="9" t="s">
        <v>27</v>
      </c>
      <c r="G281" s="30" t="s">
        <v>297</v>
      </c>
      <c r="H281" s="14">
        <f t="shared" si="12"/>
        <v>45.75</v>
      </c>
      <c r="I281" s="14">
        <f t="shared" si="14"/>
        <v>45.75</v>
      </c>
      <c r="J281" s="14"/>
      <c r="K281" s="14" t="s">
        <v>9</v>
      </c>
    </row>
    <row r="282" spans="2:11" ht="13.2">
      <c r="B282" t="s">
        <v>458</v>
      </c>
      <c r="C282" t="s">
        <v>8</v>
      </c>
      <c r="D282" s="6">
        <v>2025</v>
      </c>
      <c r="E282" t="s">
        <v>457</v>
      </c>
      <c r="F282" s="9" t="s">
        <v>27</v>
      </c>
      <c r="G282" s="30" t="s">
        <v>297</v>
      </c>
      <c r="H282" s="14">
        <f t="shared" si="12"/>
        <v>45.75</v>
      </c>
      <c r="I282" s="14">
        <f t="shared" si="14"/>
        <v>45.75</v>
      </c>
      <c r="J282" s="14"/>
      <c r="K282" s="14" t="s">
        <v>9</v>
      </c>
    </row>
    <row r="283" spans="2:11" ht="13.2">
      <c r="B283" t="s">
        <v>458</v>
      </c>
      <c r="C283" t="s">
        <v>8</v>
      </c>
      <c r="D283" s="6">
        <v>2026</v>
      </c>
      <c r="E283" t="s">
        <v>457</v>
      </c>
      <c r="F283" s="9" t="s">
        <v>27</v>
      </c>
      <c r="G283" s="30" t="s">
        <v>297</v>
      </c>
      <c r="H283" s="14">
        <f t="shared" si="12"/>
        <v>45.75</v>
      </c>
      <c r="I283" s="14">
        <f t="shared" si="14"/>
        <v>45.75</v>
      </c>
      <c r="J283" s="14"/>
      <c r="K283" s="14" t="s">
        <v>9</v>
      </c>
    </row>
    <row r="284" spans="2:11" ht="13.2">
      <c r="B284" t="s">
        <v>458</v>
      </c>
      <c r="C284" t="s">
        <v>8</v>
      </c>
      <c r="D284" s="6">
        <v>2027</v>
      </c>
      <c r="E284" t="s">
        <v>457</v>
      </c>
      <c r="F284" s="9" t="s">
        <v>27</v>
      </c>
      <c r="G284" s="30" t="s">
        <v>297</v>
      </c>
      <c r="H284" s="14">
        <f t="shared" si="12"/>
        <v>45.75</v>
      </c>
      <c r="I284" s="14">
        <f t="shared" si="14"/>
        <v>45.75</v>
      </c>
      <c r="J284" s="14"/>
      <c r="K284" s="14" t="s">
        <v>9</v>
      </c>
    </row>
    <row r="285" spans="2:11" ht="13.2">
      <c r="B285" t="s">
        <v>458</v>
      </c>
      <c r="C285" t="s">
        <v>8</v>
      </c>
      <c r="D285" s="6">
        <v>2028</v>
      </c>
      <c r="E285" t="s">
        <v>457</v>
      </c>
      <c r="F285" s="9" t="s">
        <v>27</v>
      </c>
      <c r="G285" s="30" t="s">
        <v>297</v>
      </c>
      <c r="H285" s="14">
        <f t="shared" si="12"/>
        <v>45.75</v>
      </c>
      <c r="I285" s="14">
        <f t="shared" si="14"/>
        <v>45.75</v>
      </c>
      <c r="J285" s="14"/>
      <c r="K285" s="14" t="s">
        <v>9</v>
      </c>
    </row>
    <row r="286" spans="2:11" ht="13.2">
      <c r="B286" t="s">
        <v>458</v>
      </c>
      <c r="C286" t="s">
        <v>8</v>
      </c>
      <c r="D286" s="6">
        <v>2029</v>
      </c>
      <c r="E286" t="s">
        <v>457</v>
      </c>
      <c r="F286" s="9" t="s">
        <v>27</v>
      </c>
      <c r="G286" s="30" t="s">
        <v>297</v>
      </c>
      <c r="H286" s="14">
        <f t="shared" si="12"/>
        <v>45.75</v>
      </c>
      <c r="I286" s="14">
        <f t="shared" si="14"/>
        <v>45.75</v>
      </c>
      <c r="J286" s="14"/>
      <c r="K286" s="14" t="s">
        <v>9</v>
      </c>
    </row>
    <row r="287" spans="2:11" ht="13.2">
      <c r="B287" t="s">
        <v>458</v>
      </c>
      <c r="C287" t="s">
        <v>8</v>
      </c>
      <c r="D287" s="6">
        <v>2030</v>
      </c>
      <c r="E287" t="s">
        <v>457</v>
      </c>
      <c r="F287" s="9" t="s">
        <v>27</v>
      </c>
      <c r="G287" s="30" t="s">
        <v>297</v>
      </c>
      <c r="H287" s="14">
        <f t="shared" si="12"/>
        <v>45.75</v>
      </c>
      <c r="I287" s="14">
        <f t="shared" si="14"/>
        <v>45.75</v>
      </c>
      <c r="J287" s="14"/>
      <c r="K287" s="14" t="s">
        <v>9</v>
      </c>
    </row>
    <row r="288" spans="2:11" ht="13.2">
      <c r="B288" t="s">
        <v>458</v>
      </c>
      <c r="C288" t="s">
        <v>8</v>
      </c>
      <c r="D288" s="6">
        <v>2031</v>
      </c>
      <c r="E288" t="s">
        <v>457</v>
      </c>
      <c r="F288" s="9" t="s">
        <v>27</v>
      </c>
      <c r="G288" s="30" t="s">
        <v>297</v>
      </c>
      <c r="H288" s="14">
        <f t="shared" si="12"/>
        <v>45.75</v>
      </c>
      <c r="I288" s="14">
        <f t="shared" si="14"/>
        <v>45.75</v>
      </c>
      <c r="J288" s="14"/>
      <c r="K288" s="14" t="s">
        <v>9</v>
      </c>
    </row>
    <row r="289" spans="2:11" ht="13.2">
      <c r="B289" t="s">
        <v>458</v>
      </c>
      <c r="C289" t="s">
        <v>8</v>
      </c>
      <c r="D289" s="6">
        <v>2032</v>
      </c>
      <c r="E289" t="s">
        <v>457</v>
      </c>
      <c r="F289" s="9" t="s">
        <v>27</v>
      </c>
      <c r="G289" s="30" t="s">
        <v>297</v>
      </c>
      <c r="H289" s="14">
        <f t="shared" si="12"/>
        <v>45.75</v>
      </c>
      <c r="I289" s="14">
        <f t="shared" si="14"/>
        <v>45.75</v>
      </c>
      <c r="J289" s="14"/>
      <c r="K289" s="14" t="s">
        <v>9</v>
      </c>
    </row>
    <row r="290" spans="2:11" ht="13.2">
      <c r="B290" t="s">
        <v>458</v>
      </c>
      <c r="C290" t="s">
        <v>8</v>
      </c>
      <c r="D290" s="6">
        <v>2033</v>
      </c>
      <c r="E290" t="s">
        <v>457</v>
      </c>
      <c r="F290" s="9" t="s">
        <v>27</v>
      </c>
      <c r="G290" s="30" t="s">
        <v>297</v>
      </c>
      <c r="H290" s="14">
        <f t="shared" si="12"/>
        <v>45.75</v>
      </c>
      <c r="I290" s="14">
        <f t="shared" si="14"/>
        <v>45.75</v>
      </c>
      <c r="J290" s="14"/>
      <c r="K290" s="14" t="s">
        <v>9</v>
      </c>
    </row>
    <row r="291" spans="2:11" ht="13.2">
      <c r="B291" t="s">
        <v>458</v>
      </c>
      <c r="C291" t="s">
        <v>8</v>
      </c>
      <c r="D291" s="6">
        <v>2034</v>
      </c>
      <c r="E291" t="s">
        <v>457</v>
      </c>
      <c r="F291" s="9" t="s">
        <v>27</v>
      </c>
      <c r="G291" s="30" t="s">
        <v>297</v>
      </c>
      <c r="H291" s="14">
        <f t="shared" si="12"/>
        <v>45.75</v>
      </c>
      <c r="I291" s="14">
        <f t="shared" si="14"/>
        <v>45.75</v>
      </c>
      <c r="J291" s="14"/>
      <c r="K291" s="14" t="s">
        <v>9</v>
      </c>
    </row>
    <row r="292" spans="2:11" ht="13.2">
      <c r="B292" t="s">
        <v>458</v>
      </c>
      <c r="C292" t="s">
        <v>8</v>
      </c>
      <c r="D292" s="6">
        <v>2035</v>
      </c>
      <c r="E292" t="s">
        <v>457</v>
      </c>
      <c r="F292" s="9" t="s">
        <v>27</v>
      </c>
      <c r="G292" s="30" t="s">
        <v>297</v>
      </c>
      <c r="H292" s="14">
        <f t="shared" si="12"/>
        <v>45.75</v>
      </c>
      <c r="I292" s="14">
        <f t="shared" si="14"/>
        <v>45.75</v>
      </c>
      <c r="J292" s="14"/>
      <c r="K292" s="14" t="s">
        <v>9</v>
      </c>
    </row>
    <row r="293" spans="2:11" ht="13.2">
      <c r="B293" t="s">
        <v>458</v>
      </c>
      <c r="C293" t="s">
        <v>8</v>
      </c>
      <c r="D293" s="6">
        <v>2036</v>
      </c>
      <c r="E293" t="s">
        <v>457</v>
      </c>
      <c r="F293" s="9" t="s">
        <v>27</v>
      </c>
      <c r="G293" s="30" t="s">
        <v>297</v>
      </c>
      <c r="H293" s="14">
        <f t="shared" si="12"/>
        <v>45.75</v>
      </c>
      <c r="I293" s="14">
        <f t="shared" si="14"/>
        <v>45.75</v>
      </c>
      <c r="J293" s="14"/>
      <c r="K293" s="14" t="s">
        <v>9</v>
      </c>
    </row>
    <row r="294" spans="2:11" ht="13.2">
      <c r="B294" t="s">
        <v>458</v>
      </c>
      <c r="C294" t="s">
        <v>8</v>
      </c>
      <c r="D294" s="6">
        <v>2037</v>
      </c>
      <c r="E294" t="s">
        <v>457</v>
      </c>
      <c r="F294" s="9" t="s">
        <v>27</v>
      </c>
      <c r="G294" s="30" t="s">
        <v>297</v>
      </c>
      <c r="H294" s="14">
        <f t="shared" si="12"/>
        <v>45.75</v>
      </c>
      <c r="I294" s="14">
        <f t="shared" si="14"/>
        <v>45.75</v>
      </c>
      <c r="J294" s="14"/>
      <c r="K294" s="14" t="s">
        <v>9</v>
      </c>
    </row>
    <row r="295" spans="2:11" ht="13.2">
      <c r="B295" t="s">
        <v>458</v>
      </c>
      <c r="C295" t="s">
        <v>8</v>
      </c>
      <c r="D295" s="6">
        <v>2038</v>
      </c>
      <c r="E295" t="s">
        <v>457</v>
      </c>
      <c r="F295" s="9" t="s">
        <v>27</v>
      </c>
      <c r="G295" s="30" t="s">
        <v>297</v>
      </c>
      <c r="H295" s="14">
        <f t="shared" ref="H295:H335" si="15">HLOOKUP(K295,FuelTax2,D295-2006,FALSE)*$C$10</f>
        <v>45.75</v>
      </c>
      <c r="I295" s="14">
        <f t="shared" si="14"/>
        <v>45.75</v>
      </c>
      <c r="J295" s="14"/>
      <c r="K295" s="14" t="s">
        <v>9</v>
      </c>
    </row>
    <row r="296" spans="2:11" ht="13.2">
      <c r="B296" t="s">
        <v>458</v>
      </c>
      <c r="C296" t="s">
        <v>8</v>
      </c>
      <c r="D296" s="6">
        <v>2039</v>
      </c>
      <c r="E296" t="s">
        <v>457</v>
      </c>
      <c r="F296" s="9" t="s">
        <v>27</v>
      </c>
      <c r="G296" s="30" t="s">
        <v>297</v>
      </c>
      <c r="H296" s="14">
        <f t="shared" si="15"/>
        <v>45.75</v>
      </c>
      <c r="I296" s="14">
        <f t="shared" si="14"/>
        <v>45.75</v>
      </c>
      <c r="J296" s="14"/>
      <c r="K296" s="14" t="s">
        <v>9</v>
      </c>
    </row>
    <row r="297" spans="2:11" ht="13.2">
      <c r="B297" t="s">
        <v>458</v>
      </c>
      <c r="C297" t="s">
        <v>8</v>
      </c>
      <c r="D297" s="6">
        <v>2040</v>
      </c>
      <c r="E297" t="s">
        <v>457</v>
      </c>
      <c r="F297" s="9" t="s">
        <v>27</v>
      </c>
      <c r="G297" s="30" t="s">
        <v>297</v>
      </c>
      <c r="H297" s="14">
        <f t="shared" si="15"/>
        <v>45.75</v>
      </c>
      <c r="I297" s="14">
        <f t="shared" si="14"/>
        <v>45.75</v>
      </c>
      <c r="J297" s="14"/>
      <c r="K297" s="14" t="s">
        <v>9</v>
      </c>
    </row>
    <row r="298" spans="2:11" ht="13.2">
      <c r="B298" t="s">
        <v>458</v>
      </c>
      <c r="C298" t="s">
        <v>8</v>
      </c>
      <c r="D298" s="6">
        <v>2041</v>
      </c>
      <c r="E298" t="s">
        <v>457</v>
      </c>
      <c r="F298" s="9" t="s">
        <v>27</v>
      </c>
      <c r="G298" s="30" t="s">
        <v>297</v>
      </c>
      <c r="H298" s="14">
        <f t="shared" si="15"/>
        <v>45.75</v>
      </c>
      <c r="I298" s="14">
        <f t="shared" si="14"/>
        <v>45.75</v>
      </c>
      <c r="J298" s="14"/>
      <c r="K298" s="14" t="s">
        <v>9</v>
      </c>
    </row>
    <row r="299" spans="2:11" ht="13.2">
      <c r="B299" t="s">
        <v>458</v>
      </c>
      <c r="C299" t="s">
        <v>8</v>
      </c>
      <c r="D299" s="6">
        <v>2042</v>
      </c>
      <c r="E299" t="s">
        <v>457</v>
      </c>
      <c r="F299" s="9" t="s">
        <v>27</v>
      </c>
      <c r="G299" s="30" t="s">
        <v>297</v>
      </c>
      <c r="H299" s="14">
        <f t="shared" si="15"/>
        <v>45.75</v>
      </c>
      <c r="I299" s="14">
        <f t="shared" si="14"/>
        <v>45.75</v>
      </c>
      <c r="J299" s="14"/>
      <c r="K299" s="14" t="s">
        <v>9</v>
      </c>
    </row>
    <row r="300" spans="2:11" ht="13.2">
      <c r="B300" t="s">
        <v>458</v>
      </c>
      <c r="C300" t="s">
        <v>8</v>
      </c>
      <c r="D300" s="6">
        <v>2043</v>
      </c>
      <c r="E300" t="s">
        <v>457</v>
      </c>
      <c r="F300" s="9" t="s">
        <v>27</v>
      </c>
      <c r="G300" s="30" t="s">
        <v>297</v>
      </c>
      <c r="H300" s="14">
        <f t="shared" si="15"/>
        <v>45.75</v>
      </c>
      <c r="I300" s="14">
        <f t="shared" si="14"/>
        <v>45.75</v>
      </c>
      <c r="J300" s="14"/>
      <c r="K300" s="14" t="s">
        <v>9</v>
      </c>
    </row>
    <row r="301" spans="2:11" ht="13.2">
      <c r="B301" t="s">
        <v>458</v>
      </c>
      <c r="C301" t="s">
        <v>8</v>
      </c>
      <c r="D301" s="6">
        <v>2044</v>
      </c>
      <c r="E301" t="s">
        <v>457</v>
      </c>
      <c r="F301" s="9" t="s">
        <v>27</v>
      </c>
      <c r="G301" s="30" t="s">
        <v>297</v>
      </c>
      <c r="H301" s="14">
        <f t="shared" si="15"/>
        <v>45.75</v>
      </c>
      <c r="I301" s="14">
        <f t="shared" si="14"/>
        <v>45.75</v>
      </c>
      <c r="J301" s="14"/>
      <c r="K301" s="14" t="s">
        <v>9</v>
      </c>
    </row>
    <row r="302" spans="2:11" ht="13.2">
      <c r="B302" t="s">
        <v>458</v>
      </c>
      <c r="C302" t="s">
        <v>8</v>
      </c>
      <c r="D302" s="6">
        <v>2045</v>
      </c>
      <c r="E302" t="s">
        <v>457</v>
      </c>
      <c r="F302" s="9" t="s">
        <v>27</v>
      </c>
      <c r="G302" s="30" t="s">
        <v>297</v>
      </c>
      <c r="H302" s="14">
        <f t="shared" si="15"/>
        <v>45.75</v>
      </c>
      <c r="I302" s="14">
        <f t="shared" si="14"/>
        <v>45.75</v>
      </c>
      <c r="J302" s="14"/>
      <c r="K302" s="14" t="s">
        <v>9</v>
      </c>
    </row>
    <row r="303" spans="2:11" ht="13.2">
      <c r="B303" t="s">
        <v>458</v>
      </c>
      <c r="C303" t="s">
        <v>8</v>
      </c>
      <c r="D303" s="6">
        <v>2046</v>
      </c>
      <c r="E303" t="s">
        <v>457</v>
      </c>
      <c r="F303" s="9" t="s">
        <v>27</v>
      </c>
      <c r="G303" s="30" t="s">
        <v>297</v>
      </c>
      <c r="H303" s="14">
        <f t="shared" si="15"/>
        <v>45.75</v>
      </c>
      <c r="I303" s="14">
        <f t="shared" si="14"/>
        <v>45.75</v>
      </c>
      <c r="J303" s="14"/>
      <c r="K303" s="14" t="s">
        <v>9</v>
      </c>
    </row>
    <row r="304" spans="2:11" ht="13.2">
      <c r="B304" t="s">
        <v>458</v>
      </c>
      <c r="C304" t="s">
        <v>8</v>
      </c>
      <c r="D304" s="6">
        <v>2047</v>
      </c>
      <c r="E304" t="s">
        <v>457</v>
      </c>
      <c r="F304" s="9" t="s">
        <v>27</v>
      </c>
      <c r="G304" s="30" t="s">
        <v>297</v>
      </c>
      <c r="H304" s="14">
        <f t="shared" si="15"/>
        <v>45.75</v>
      </c>
      <c r="I304" s="14">
        <f t="shared" si="14"/>
        <v>45.75</v>
      </c>
      <c r="J304" s="14"/>
      <c r="K304" s="14" t="s">
        <v>9</v>
      </c>
    </row>
    <row r="305" spans="2:11" ht="13.2">
      <c r="B305" t="s">
        <v>458</v>
      </c>
      <c r="C305" t="s">
        <v>8</v>
      </c>
      <c r="D305" s="6">
        <v>2048</v>
      </c>
      <c r="E305" t="s">
        <v>457</v>
      </c>
      <c r="F305" s="9" t="s">
        <v>27</v>
      </c>
      <c r="G305" s="30" t="s">
        <v>297</v>
      </c>
      <c r="H305" s="14">
        <f t="shared" si="15"/>
        <v>45.75</v>
      </c>
      <c r="I305" s="14">
        <f t="shared" si="14"/>
        <v>45.75</v>
      </c>
      <c r="J305" s="14"/>
      <c r="K305" s="14" t="s">
        <v>9</v>
      </c>
    </row>
    <row r="306" spans="2:11" ht="13.2">
      <c r="B306" t="s">
        <v>458</v>
      </c>
      <c r="C306" t="s">
        <v>8</v>
      </c>
      <c r="D306" s="6">
        <v>2049</v>
      </c>
      <c r="E306" t="s">
        <v>457</v>
      </c>
      <c r="F306" s="9" t="s">
        <v>27</v>
      </c>
      <c r="G306" s="30" t="s">
        <v>297</v>
      </c>
      <c r="H306" s="14">
        <f t="shared" si="15"/>
        <v>45.75</v>
      </c>
      <c r="I306" s="14">
        <f t="shared" si="14"/>
        <v>45.75</v>
      </c>
      <c r="J306" s="14"/>
      <c r="K306" s="14" t="s">
        <v>9</v>
      </c>
    </row>
    <row r="307" spans="2:11" ht="13.2">
      <c r="B307" s="7" t="s">
        <v>458</v>
      </c>
      <c r="C307" s="7" t="s">
        <v>8</v>
      </c>
      <c r="D307" s="8">
        <v>2050</v>
      </c>
      <c r="E307" s="7" t="s">
        <v>457</v>
      </c>
      <c r="F307" s="7" t="s">
        <v>27</v>
      </c>
      <c r="G307" s="35" t="s">
        <v>297</v>
      </c>
      <c r="H307" s="21">
        <f t="shared" si="15"/>
        <v>45.75</v>
      </c>
      <c r="I307" s="21">
        <f t="shared" si="14"/>
        <v>45.75</v>
      </c>
      <c r="J307" s="21"/>
      <c r="K307" s="21" t="s">
        <v>9</v>
      </c>
    </row>
    <row r="308" spans="2:11" ht="13.2">
      <c r="B308" t="s">
        <v>458</v>
      </c>
      <c r="C308" t="s">
        <v>8</v>
      </c>
      <c r="D308" s="6">
        <v>2010</v>
      </c>
      <c r="E308" t="s">
        <v>78</v>
      </c>
      <c r="F308" s="9" t="s">
        <v>27</v>
      </c>
      <c r="G308" s="30" t="s">
        <v>297</v>
      </c>
      <c r="H308" s="14">
        <f t="shared" si="15"/>
        <v>49.10483412971962</v>
      </c>
      <c r="I308" s="14">
        <f t="shared" ref="I308:I371" si="16">H308</f>
        <v>49.10483412971962</v>
      </c>
      <c r="J308" s="14"/>
      <c r="K308" s="14" t="s">
        <v>9</v>
      </c>
    </row>
    <row r="309" spans="2:11" ht="13.2">
      <c r="B309" t="s">
        <v>458</v>
      </c>
      <c r="C309" t="s">
        <v>8</v>
      </c>
      <c r="D309" s="6">
        <v>2011</v>
      </c>
      <c r="E309" t="s">
        <v>78</v>
      </c>
      <c r="F309" s="9" t="s">
        <v>27</v>
      </c>
      <c r="G309" s="30" t="s">
        <v>297</v>
      </c>
      <c r="H309" s="14">
        <f t="shared" si="15"/>
        <v>48.721608572358001</v>
      </c>
      <c r="I309" s="14">
        <f t="shared" si="16"/>
        <v>48.721608572358001</v>
      </c>
      <c r="J309" s="14"/>
      <c r="K309" s="14" t="s">
        <v>9</v>
      </c>
    </row>
    <row r="310" spans="2:11" ht="13.2">
      <c r="B310" t="s">
        <v>458</v>
      </c>
      <c r="C310" t="s">
        <v>8</v>
      </c>
      <c r="D310" s="6">
        <v>2012</v>
      </c>
      <c r="E310" t="s">
        <v>78</v>
      </c>
      <c r="F310" s="9" t="s">
        <v>27</v>
      </c>
      <c r="G310" s="30" t="s">
        <v>297</v>
      </c>
      <c r="H310" s="14">
        <f t="shared" si="15"/>
        <v>48.736631556149753</v>
      </c>
      <c r="I310" s="14">
        <f t="shared" si="16"/>
        <v>48.736631556149753</v>
      </c>
      <c r="J310" s="14"/>
      <c r="K310" s="14" t="s">
        <v>9</v>
      </c>
    </row>
    <row r="311" spans="2:11" ht="13.2">
      <c r="B311" t="s">
        <v>458</v>
      </c>
      <c r="C311" t="s">
        <v>8</v>
      </c>
      <c r="D311" s="6">
        <v>2013</v>
      </c>
      <c r="E311" t="s">
        <v>78</v>
      </c>
      <c r="F311" s="9" t="s">
        <v>27</v>
      </c>
      <c r="G311" s="30" t="s">
        <v>297</v>
      </c>
      <c r="H311" s="14">
        <f t="shared" si="15"/>
        <v>49.16333179103512</v>
      </c>
      <c r="I311" s="14">
        <f t="shared" si="16"/>
        <v>49.16333179103512</v>
      </c>
      <c r="J311" s="14"/>
      <c r="K311" s="14" t="s">
        <v>9</v>
      </c>
    </row>
    <row r="312" spans="2:11" ht="13.2">
      <c r="B312" t="s">
        <v>458</v>
      </c>
      <c r="C312" t="s">
        <v>8</v>
      </c>
      <c r="D312" s="6">
        <v>2014</v>
      </c>
      <c r="E312" t="s">
        <v>78</v>
      </c>
      <c r="F312" s="9" t="s">
        <v>27</v>
      </c>
      <c r="G312" s="30" t="s">
        <v>297</v>
      </c>
      <c r="H312" s="14">
        <f t="shared" si="15"/>
        <v>49.664714867617107</v>
      </c>
      <c r="I312" s="14">
        <f t="shared" si="16"/>
        <v>49.664714867617107</v>
      </c>
      <c r="J312" s="14"/>
      <c r="K312" s="14" t="s">
        <v>9</v>
      </c>
    </row>
    <row r="313" spans="2:11" ht="13.2">
      <c r="B313" t="s">
        <v>458</v>
      </c>
      <c r="C313" t="s">
        <v>8</v>
      </c>
      <c r="D313" s="6">
        <v>2015</v>
      </c>
      <c r="E313" t="s">
        <v>78</v>
      </c>
      <c r="F313" s="9" t="s">
        <v>27</v>
      </c>
      <c r="G313" s="30" t="s">
        <v>297</v>
      </c>
      <c r="H313" s="14">
        <f t="shared" si="15"/>
        <v>45.75</v>
      </c>
      <c r="I313" s="14">
        <f t="shared" si="16"/>
        <v>45.75</v>
      </c>
      <c r="J313" s="14"/>
      <c r="K313" s="14" t="s">
        <v>9</v>
      </c>
    </row>
    <row r="314" spans="2:11" ht="13.2">
      <c r="B314" t="s">
        <v>458</v>
      </c>
      <c r="C314" t="s">
        <v>8</v>
      </c>
      <c r="D314" s="6">
        <v>2016</v>
      </c>
      <c r="E314" t="s">
        <v>78</v>
      </c>
      <c r="F314" s="9" t="s">
        <v>27</v>
      </c>
      <c r="G314" s="30" t="s">
        <v>297</v>
      </c>
      <c r="H314" s="14">
        <f t="shared" si="15"/>
        <v>45.75</v>
      </c>
      <c r="I314" s="14">
        <f t="shared" si="16"/>
        <v>45.75</v>
      </c>
      <c r="J314" s="14"/>
      <c r="K314" s="14" t="s">
        <v>9</v>
      </c>
    </row>
    <row r="315" spans="2:11" ht="13.2">
      <c r="B315" t="s">
        <v>458</v>
      </c>
      <c r="C315" t="s">
        <v>8</v>
      </c>
      <c r="D315" s="6">
        <v>2017</v>
      </c>
      <c r="E315" t="s">
        <v>78</v>
      </c>
      <c r="F315" s="9" t="s">
        <v>27</v>
      </c>
      <c r="G315" s="30" t="s">
        <v>297</v>
      </c>
      <c r="H315" s="14">
        <f t="shared" si="15"/>
        <v>45.75</v>
      </c>
      <c r="I315" s="14">
        <f t="shared" si="16"/>
        <v>45.75</v>
      </c>
      <c r="J315" s="14"/>
      <c r="K315" s="14" t="s">
        <v>9</v>
      </c>
    </row>
    <row r="316" spans="2:11" ht="13.2">
      <c r="B316" t="s">
        <v>458</v>
      </c>
      <c r="C316" t="s">
        <v>8</v>
      </c>
      <c r="D316" s="6">
        <v>2018</v>
      </c>
      <c r="E316" t="s">
        <v>78</v>
      </c>
      <c r="F316" s="9" t="s">
        <v>27</v>
      </c>
      <c r="G316" s="30" t="s">
        <v>297</v>
      </c>
      <c r="H316" s="14">
        <f t="shared" si="15"/>
        <v>45.75</v>
      </c>
      <c r="I316" s="14">
        <f t="shared" si="16"/>
        <v>45.75</v>
      </c>
      <c r="J316" s="14"/>
      <c r="K316" s="14" t="s">
        <v>9</v>
      </c>
    </row>
    <row r="317" spans="2:11" ht="13.2">
      <c r="B317" t="s">
        <v>458</v>
      </c>
      <c r="C317" t="s">
        <v>8</v>
      </c>
      <c r="D317" s="6">
        <v>2019</v>
      </c>
      <c r="E317" t="s">
        <v>78</v>
      </c>
      <c r="F317" s="9" t="s">
        <v>27</v>
      </c>
      <c r="G317" s="30" t="s">
        <v>297</v>
      </c>
      <c r="H317" s="14">
        <f t="shared" si="15"/>
        <v>45.75</v>
      </c>
      <c r="I317" s="14">
        <f t="shared" si="16"/>
        <v>45.75</v>
      </c>
      <c r="J317" s="14"/>
      <c r="K317" s="14" t="s">
        <v>9</v>
      </c>
    </row>
    <row r="318" spans="2:11" ht="13.2">
      <c r="B318" t="s">
        <v>458</v>
      </c>
      <c r="C318" t="s">
        <v>8</v>
      </c>
      <c r="D318" s="6">
        <v>2020</v>
      </c>
      <c r="E318" t="s">
        <v>78</v>
      </c>
      <c r="F318" s="9" t="s">
        <v>27</v>
      </c>
      <c r="G318" s="30" t="s">
        <v>297</v>
      </c>
      <c r="H318" s="14">
        <f t="shared" si="15"/>
        <v>45.75</v>
      </c>
      <c r="I318" s="14">
        <f t="shared" si="16"/>
        <v>45.75</v>
      </c>
      <c r="J318" s="14"/>
      <c r="K318" s="14" t="s">
        <v>9</v>
      </c>
    </row>
    <row r="319" spans="2:11" ht="13.2">
      <c r="B319" t="s">
        <v>458</v>
      </c>
      <c r="C319" t="s">
        <v>8</v>
      </c>
      <c r="D319" s="6">
        <v>2021</v>
      </c>
      <c r="E319" t="s">
        <v>78</v>
      </c>
      <c r="F319" s="9" t="s">
        <v>27</v>
      </c>
      <c r="G319" s="30" t="s">
        <v>297</v>
      </c>
      <c r="H319" s="14">
        <f t="shared" si="15"/>
        <v>45.75</v>
      </c>
      <c r="I319" s="14">
        <f t="shared" si="16"/>
        <v>45.75</v>
      </c>
      <c r="J319" s="14"/>
      <c r="K319" s="14" t="s">
        <v>9</v>
      </c>
    </row>
    <row r="320" spans="2:11" ht="13.2">
      <c r="B320" t="s">
        <v>458</v>
      </c>
      <c r="C320" t="s">
        <v>8</v>
      </c>
      <c r="D320" s="6">
        <v>2022</v>
      </c>
      <c r="E320" t="s">
        <v>78</v>
      </c>
      <c r="F320" s="9" t="s">
        <v>27</v>
      </c>
      <c r="G320" s="30" t="s">
        <v>297</v>
      </c>
      <c r="H320" s="14">
        <f t="shared" si="15"/>
        <v>45.75</v>
      </c>
      <c r="I320" s="14">
        <f t="shared" si="16"/>
        <v>45.75</v>
      </c>
      <c r="J320" s="14"/>
      <c r="K320" s="14" t="s">
        <v>9</v>
      </c>
    </row>
    <row r="321" spans="2:11" ht="13.2">
      <c r="B321" t="s">
        <v>458</v>
      </c>
      <c r="C321" t="s">
        <v>8</v>
      </c>
      <c r="D321" s="6">
        <v>2023</v>
      </c>
      <c r="E321" t="s">
        <v>78</v>
      </c>
      <c r="F321" s="9" t="s">
        <v>27</v>
      </c>
      <c r="G321" s="30" t="s">
        <v>297</v>
      </c>
      <c r="H321" s="14">
        <f t="shared" si="15"/>
        <v>45.75</v>
      </c>
      <c r="I321" s="14">
        <f t="shared" si="16"/>
        <v>45.75</v>
      </c>
      <c r="J321" s="14"/>
      <c r="K321" s="14" t="s">
        <v>9</v>
      </c>
    </row>
    <row r="322" spans="2:11" ht="13.2">
      <c r="B322" t="s">
        <v>458</v>
      </c>
      <c r="C322" t="s">
        <v>8</v>
      </c>
      <c r="D322" s="6">
        <v>2024</v>
      </c>
      <c r="E322" t="s">
        <v>78</v>
      </c>
      <c r="F322" s="9" t="s">
        <v>27</v>
      </c>
      <c r="G322" s="30" t="s">
        <v>297</v>
      </c>
      <c r="H322" s="14">
        <f t="shared" si="15"/>
        <v>45.75</v>
      </c>
      <c r="I322" s="14">
        <f t="shared" si="16"/>
        <v>45.75</v>
      </c>
      <c r="J322" s="14"/>
      <c r="K322" s="14" t="s">
        <v>9</v>
      </c>
    </row>
    <row r="323" spans="2:11" ht="13.2">
      <c r="B323" t="s">
        <v>458</v>
      </c>
      <c r="C323" t="s">
        <v>8</v>
      </c>
      <c r="D323" s="6">
        <v>2025</v>
      </c>
      <c r="E323" t="s">
        <v>78</v>
      </c>
      <c r="F323" s="9" t="s">
        <v>27</v>
      </c>
      <c r="G323" s="30" t="s">
        <v>297</v>
      </c>
      <c r="H323" s="14">
        <f t="shared" si="15"/>
        <v>45.75</v>
      </c>
      <c r="I323" s="14">
        <f t="shared" si="16"/>
        <v>45.75</v>
      </c>
      <c r="J323" s="14"/>
      <c r="K323" s="14" t="s">
        <v>9</v>
      </c>
    </row>
    <row r="324" spans="2:11" ht="13.2">
      <c r="B324" t="s">
        <v>458</v>
      </c>
      <c r="C324" t="s">
        <v>8</v>
      </c>
      <c r="D324" s="6">
        <v>2026</v>
      </c>
      <c r="E324" t="s">
        <v>78</v>
      </c>
      <c r="F324" s="9" t="s">
        <v>27</v>
      </c>
      <c r="G324" s="30" t="s">
        <v>297</v>
      </c>
      <c r="H324" s="14">
        <f t="shared" si="15"/>
        <v>45.75</v>
      </c>
      <c r="I324" s="14">
        <f t="shared" si="16"/>
        <v>45.75</v>
      </c>
      <c r="J324" s="14"/>
      <c r="K324" s="14" t="s">
        <v>9</v>
      </c>
    </row>
    <row r="325" spans="2:11" ht="13.2">
      <c r="B325" t="s">
        <v>458</v>
      </c>
      <c r="C325" t="s">
        <v>8</v>
      </c>
      <c r="D325" s="6">
        <v>2027</v>
      </c>
      <c r="E325" t="s">
        <v>78</v>
      </c>
      <c r="F325" s="9" t="s">
        <v>27</v>
      </c>
      <c r="G325" s="30" t="s">
        <v>297</v>
      </c>
      <c r="H325" s="14">
        <f t="shared" si="15"/>
        <v>45.75</v>
      </c>
      <c r="I325" s="14">
        <f t="shared" si="16"/>
        <v>45.75</v>
      </c>
      <c r="J325" s="14"/>
      <c r="K325" s="14" t="s">
        <v>9</v>
      </c>
    </row>
    <row r="326" spans="2:11" ht="13.2">
      <c r="B326" t="s">
        <v>458</v>
      </c>
      <c r="C326" t="s">
        <v>8</v>
      </c>
      <c r="D326" s="6">
        <v>2028</v>
      </c>
      <c r="E326" t="s">
        <v>78</v>
      </c>
      <c r="F326" s="9" t="s">
        <v>27</v>
      </c>
      <c r="G326" s="30" t="s">
        <v>297</v>
      </c>
      <c r="H326" s="14">
        <f t="shared" si="15"/>
        <v>45.75</v>
      </c>
      <c r="I326" s="14">
        <f t="shared" si="16"/>
        <v>45.75</v>
      </c>
      <c r="J326" s="14"/>
      <c r="K326" s="14" t="s">
        <v>9</v>
      </c>
    </row>
    <row r="327" spans="2:11" ht="13.2">
      <c r="B327" t="s">
        <v>458</v>
      </c>
      <c r="C327" t="s">
        <v>8</v>
      </c>
      <c r="D327" s="6">
        <v>2029</v>
      </c>
      <c r="E327" t="s">
        <v>78</v>
      </c>
      <c r="F327" s="9" t="s">
        <v>27</v>
      </c>
      <c r="G327" s="30" t="s">
        <v>297</v>
      </c>
      <c r="H327" s="14">
        <f t="shared" si="15"/>
        <v>45.75</v>
      </c>
      <c r="I327" s="14">
        <f t="shared" si="16"/>
        <v>45.75</v>
      </c>
      <c r="J327" s="14"/>
      <c r="K327" s="14" t="s">
        <v>9</v>
      </c>
    </row>
    <row r="328" spans="2:11" ht="13.2">
      <c r="B328" t="s">
        <v>458</v>
      </c>
      <c r="C328" t="s">
        <v>8</v>
      </c>
      <c r="D328" s="6">
        <v>2030</v>
      </c>
      <c r="E328" t="s">
        <v>78</v>
      </c>
      <c r="F328" s="9" t="s">
        <v>27</v>
      </c>
      <c r="G328" s="30" t="s">
        <v>297</v>
      </c>
      <c r="H328" s="14">
        <f t="shared" si="15"/>
        <v>45.75</v>
      </c>
      <c r="I328" s="14">
        <f t="shared" si="16"/>
        <v>45.75</v>
      </c>
      <c r="J328" s="14"/>
      <c r="K328" s="14" t="s">
        <v>9</v>
      </c>
    </row>
    <row r="329" spans="2:11" ht="13.2">
      <c r="B329" t="s">
        <v>458</v>
      </c>
      <c r="C329" t="s">
        <v>8</v>
      </c>
      <c r="D329" s="6">
        <v>2031</v>
      </c>
      <c r="E329" t="s">
        <v>78</v>
      </c>
      <c r="F329" s="9" t="s">
        <v>27</v>
      </c>
      <c r="G329" s="30" t="s">
        <v>297</v>
      </c>
      <c r="H329" s="14">
        <f t="shared" si="15"/>
        <v>45.75</v>
      </c>
      <c r="I329" s="14">
        <f t="shared" si="16"/>
        <v>45.75</v>
      </c>
      <c r="J329" s="14"/>
      <c r="K329" s="14" t="s">
        <v>9</v>
      </c>
    </row>
    <row r="330" spans="2:11" ht="13.2">
      <c r="B330" t="s">
        <v>458</v>
      </c>
      <c r="C330" t="s">
        <v>8</v>
      </c>
      <c r="D330" s="6">
        <v>2032</v>
      </c>
      <c r="E330" t="s">
        <v>78</v>
      </c>
      <c r="F330" s="9" t="s">
        <v>27</v>
      </c>
      <c r="G330" s="30" t="s">
        <v>297</v>
      </c>
      <c r="H330" s="14">
        <f t="shared" si="15"/>
        <v>45.75</v>
      </c>
      <c r="I330" s="14">
        <f t="shared" si="16"/>
        <v>45.75</v>
      </c>
      <c r="J330" s="14"/>
      <c r="K330" s="14" t="s">
        <v>9</v>
      </c>
    </row>
    <row r="331" spans="2:11" ht="13.2">
      <c r="B331" t="s">
        <v>458</v>
      </c>
      <c r="C331" t="s">
        <v>8</v>
      </c>
      <c r="D331" s="6">
        <v>2033</v>
      </c>
      <c r="E331" t="s">
        <v>78</v>
      </c>
      <c r="F331" s="9" t="s">
        <v>27</v>
      </c>
      <c r="G331" s="30" t="s">
        <v>297</v>
      </c>
      <c r="H331" s="14">
        <f t="shared" si="15"/>
        <v>45.75</v>
      </c>
      <c r="I331" s="14">
        <f t="shared" si="16"/>
        <v>45.75</v>
      </c>
      <c r="J331" s="14"/>
      <c r="K331" s="14" t="s">
        <v>9</v>
      </c>
    </row>
    <row r="332" spans="2:11" ht="13.2">
      <c r="B332" t="s">
        <v>458</v>
      </c>
      <c r="C332" t="s">
        <v>8</v>
      </c>
      <c r="D332" s="6">
        <v>2034</v>
      </c>
      <c r="E332" t="s">
        <v>78</v>
      </c>
      <c r="F332" s="9" t="s">
        <v>27</v>
      </c>
      <c r="G332" s="30" t="s">
        <v>297</v>
      </c>
      <c r="H332" s="14">
        <f t="shared" si="15"/>
        <v>45.75</v>
      </c>
      <c r="I332" s="14">
        <f t="shared" si="16"/>
        <v>45.75</v>
      </c>
      <c r="J332" s="14"/>
      <c r="K332" s="14" t="s">
        <v>9</v>
      </c>
    </row>
    <row r="333" spans="2:11" ht="13.2">
      <c r="B333" t="s">
        <v>458</v>
      </c>
      <c r="C333" t="s">
        <v>8</v>
      </c>
      <c r="D333" s="6">
        <v>2035</v>
      </c>
      <c r="E333" t="s">
        <v>78</v>
      </c>
      <c r="F333" s="9" t="s">
        <v>27</v>
      </c>
      <c r="G333" s="30" t="s">
        <v>297</v>
      </c>
      <c r="H333" s="14">
        <f t="shared" si="15"/>
        <v>45.75</v>
      </c>
      <c r="I333" s="14">
        <f t="shared" si="16"/>
        <v>45.75</v>
      </c>
      <c r="J333" s="14"/>
      <c r="K333" s="14" t="s">
        <v>9</v>
      </c>
    </row>
    <row r="334" spans="2:11" ht="13.2">
      <c r="B334" t="s">
        <v>458</v>
      </c>
      <c r="C334" t="s">
        <v>8</v>
      </c>
      <c r="D334" s="6">
        <v>2036</v>
      </c>
      <c r="E334" t="s">
        <v>78</v>
      </c>
      <c r="F334" s="9" t="s">
        <v>27</v>
      </c>
      <c r="G334" s="30" t="s">
        <v>297</v>
      </c>
      <c r="H334" s="14">
        <f t="shared" si="15"/>
        <v>45.75</v>
      </c>
      <c r="I334" s="14">
        <f t="shared" si="16"/>
        <v>45.75</v>
      </c>
      <c r="J334" s="14"/>
      <c r="K334" s="14" t="s">
        <v>9</v>
      </c>
    </row>
    <row r="335" spans="2:11" ht="13.2">
      <c r="B335" t="s">
        <v>458</v>
      </c>
      <c r="C335" t="s">
        <v>8</v>
      </c>
      <c r="D335" s="6">
        <v>2037</v>
      </c>
      <c r="E335" t="s">
        <v>78</v>
      </c>
      <c r="F335" s="9" t="s">
        <v>27</v>
      </c>
      <c r="G335" s="30" t="s">
        <v>297</v>
      </c>
      <c r="H335" s="14">
        <f t="shared" si="15"/>
        <v>45.75</v>
      </c>
      <c r="I335" s="14">
        <f t="shared" si="16"/>
        <v>45.75</v>
      </c>
      <c r="J335" s="14"/>
      <c r="K335" s="14" t="s">
        <v>9</v>
      </c>
    </row>
    <row r="336" spans="2:11" ht="13.2">
      <c r="B336" t="s">
        <v>458</v>
      </c>
      <c r="C336" t="s">
        <v>8</v>
      </c>
      <c r="D336" s="6">
        <v>2038</v>
      </c>
      <c r="E336" t="s">
        <v>78</v>
      </c>
      <c r="F336" s="9" t="s">
        <v>27</v>
      </c>
      <c r="G336" s="30" t="s">
        <v>297</v>
      </c>
      <c r="H336" s="14">
        <f t="shared" ref="H336:H458" si="17">HLOOKUP(K336,FuelTax2,D336-2006,FALSE)*$C$10</f>
        <v>45.75</v>
      </c>
      <c r="I336" s="14">
        <f t="shared" si="16"/>
        <v>45.75</v>
      </c>
      <c r="J336" s="14"/>
      <c r="K336" s="14" t="s">
        <v>9</v>
      </c>
    </row>
    <row r="337" spans="2:11" ht="13.2">
      <c r="B337" t="s">
        <v>458</v>
      </c>
      <c r="C337" t="s">
        <v>8</v>
      </c>
      <c r="D337" s="6">
        <v>2039</v>
      </c>
      <c r="E337" t="s">
        <v>78</v>
      </c>
      <c r="F337" s="9" t="s">
        <v>27</v>
      </c>
      <c r="G337" s="30" t="s">
        <v>297</v>
      </c>
      <c r="H337" s="14">
        <f t="shared" si="17"/>
        <v>45.75</v>
      </c>
      <c r="I337" s="14">
        <f t="shared" si="16"/>
        <v>45.75</v>
      </c>
      <c r="J337" s="14"/>
      <c r="K337" s="14" t="s">
        <v>9</v>
      </c>
    </row>
    <row r="338" spans="2:11" ht="13.2">
      <c r="B338" t="s">
        <v>458</v>
      </c>
      <c r="C338" t="s">
        <v>8</v>
      </c>
      <c r="D338" s="6">
        <v>2040</v>
      </c>
      <c r="E338" t="s">
        <v>78</v>
      </c>
      <c r="F338" s="9" t="s">
        <v>27</v>
      </c>
      <c r="G338" s="30" t="s">
        <v>297</v>
      </c>
      <c r="H338" s="14">
        <f t="shared" si="17"/>
        <v>45.75</v>
      </c>
      <c r="I338" s="14">
        <f t="shared" si="16"/>
        <v>45.75</v>
      </c>
      <c r="J338" s="14"/>
      <c r="K338" s="14" t="s">
        <v>9</v>
      </c>
    </row>
    <row r="339" spans="2:11" ht="13.2">
      <c r="B339" t="s">
        <v>458</v>
      </c>
      <c r="C339" t="s">
        <v>8</v>
      </c>
      <c r="D339" s="6">
        <v>2041</v>
      </c>
      <c r="E339" t="s">
        <v>78</v>
      </c>
      <c r="F339" s="9" t="s">
        <v>27</v>
      </c>
      <c r="G339" s="30" t="s">
        <v>297</v>
      </c>
      <c r="H339" s="14">
        <f t="shared" si="17"/>
        <v>45.75</v>
      </c>
      <c r="I339" s="14">
        <f t="shared" si="16"/>
        <v>45.75</v>
      </c>
      <c r="J339" s="14"/>
      <c r="K339" s="14" t="s">
        <v>9</v>
      </c>
    </row>
    <row r="340" spans="2:11" ht="13.2">
      <c r="B340" t="s">
        <v>458</v>
      </c>
      <c r="C340" t="s">
        <v>8</v>
      </c>
      <c r="D340" s="6">
        <v>2042</v>
      </c>
      <c r="E340" t="s">
        <v>78</v>
      </c>
      <c r="F340" s="9" t="s">
        <v>27</v>
      </c>
      <c r="G340" s="30" t="s">
        <v>297</v>
      </c>
      <c r="H340" s="14">
        <f t="shared" si="17"/>
        <v>45.75</v>
      </c>
      <c r="I340" s="14">
        <f t="shared" si="16"/>
        <v>45.75</v>
      </c>
      <c r="J340" s="14"/>
      <c r="K340" s="14" t="s">
        <v>9</v>
      </c>
    </row>
    <row r="341" spans="2:11" ht="13.2">
      <c r="B341" t="s">
        <v>458</v>
      </c>
      <c r="C341" t="s">
        <v>8</v>
      </c>
      <c r="D341" s="6">
        <v>2043</v>
      </c>
      <c r="E341" t="s">
        <v>78</v>
      </c>
      <c r="F341" s="9" t="s">
        <v>27</v>
      </c>
      <c r="G341" s="30" t="s">
        <v>297</v>
      </c>
      <c r="H341" s="14">
        <f t="shared" si="17"/>
        <v>45.75</v>
      </c>
      <c r="I341" s="14">
        <f t="shared" si="16"/>
        <v>45.75</v>
      </c>
      <c r="J341" s="14"/>
      <c r="K341" s="14" t="s">
        <v>9</v>
      </c>
    </row>
    <row r="342" spans="2:11" ht="13.2">
      <c r="B342" t="s">
        <v>458</v>
      </c>
      <c r="C342" t="s">
        <v>8</v>
      </c>
      <c r="D342" s="6">
        <v>2044</v>
      </c>
      <c r="E342" t="s">
        <v>78</v>
      </c>
      <c r="F342" s="9" t="s">
        <v>27</v>
      </c>
      <c r="G342" s="30" t="s">
        <v>297</v>
      </c>
      <c r="H342" s="14">
        <f t="shared" si="17"/>
        <v>45.75</v>
      </c>
      <c r="I342" s="14">
        <f t="shared" si="16"/>
        <v>45.75</v>
      </c>
      <c r="J342" s="14"/>
      <c r="K342" s="14" t="s">
        <v>9</v>
      </c>
    </row>
    <row r="343" spans="2:11" ht="13.2">
      <c r="B343" t="s">
        <v>458</v>
      </c>
      <c r="C343" t="s">
        <v>8</v>
      </c>
      <c r="D343" s="6">
        <v>2045</v>
      </c>
      <c r="E343" t="s">
        <v>78</v>
      </c>
      <c r="F343" s="9" t="s">
        <v>27</v>
      </c>
      <c r="G343" s="30" t="s">
        <v>297</v>
      </c>
      <c r="H343" s="14">
        <f t="shared" si="17"/>
        <v>45.75</v>
      </c>
      <c r="I343" s="14">
        <f t="shared" si="16"/>
        <v>45.75</v>
      </c>
      <c r="J343" s="14"/>
      <c r="K343" s="14" t="s">
        <v>9</v>
      </c>
    </row>
    <row r="344" spans="2:11" ht="13.2">
      <c r="B344" t="s">
        <v>458</v>
      </c>
      <c r="C344" t="s">
        <v>8</v>
      </c>
      <c r="D344" s="6">
        <v>2046</v>
      </c>
      <c r="E344" t="s">
        <v>78</v>
      </c>
      <c r="F344" s="9" t="s">
        <v>27</v>
      </c>
      <c r="G344" s="30" t="s">
        <v>297</v>
      </c>
      <c r="H344" s="14">
        <f t="shared" si="17"/>
        <v>45.75</v>
      </c>
      <c r="I344" s="14">
        <f t="shared" si="16"/>
        <v>45.75</v>
      </c>
      <c r="J344" s="14"/>
      <c r="K344" s="14" t="s">
        <v>9</v>
      </c>
    </row>
    <row r="345" spans="2:11" ht="13.2">
      <c r="B345" t="s">
        <v>458</v>
      </c>
      <c r="C345" t="s">
        <v>8</v>
      </c>
      <c r="D345" s="6">
        <v>2047</v>
      </c>
      <c r="E345" t="s">
        <v>78</v>
      </c>
      <c r="F345" s="9" t="s">
        <v>27</v>
      </c>
      <c r="G345" s="30" t="s">
        <v>297</v>
      </c>
      <c r="H345" s="14">
        <f t="shared" si="17"/>
        <v>45.75</v>
      </c>
      <c r="I345" s="14">
        <f t="shared" si="16"/>
        <v>45.75</v>
      </c>
      <c r="J345" s="14"/>
      <c r="K345" s="14" t="s">
        <v>9</v>
      </c>
    </row>
    <row r="346" spans="2:11" ht="13.2">
      <c r="B346" t="s">
        <v>458</v>
      </c>
      <c r="C346" t="s">
        <v>8</v>
      </c>
      <c r="D346" s="6">
        <v>2048</v>
      </c>
      <c r="E346" t="s">
        <v>78</v>
      </c>
      <c r="F346" s="9" t="s">
        <v>27</v>
      </c>
      <c r="G346" s="30" t="s">
        <v>297</v>
      </c>
      <c r="H346" s="14">
        <f t="shared" si="17"/>
        <v>45.75</v>
      </c>
      <c r="I346" s="14">
        <f t="shared" si="16"/>
        <v>45.75</v>
      </c>
      <c r="J346" s="14"/>
      <c r="K346" s="14" t="s">
        <v>9</v>
      </c>
    </row>
    <row r="347" spans="2:11" ht="13.2">
      <c r="B347" t="s">
        <v>458</v>
      </c>
      <c r="C347" t="s">
        <v>8</v>
      </c>
      <c r="D347" s="6">
        <v>2049</v>
      </c>
      <c r="E347" t="s">
        <v>78</v>
      </c>
      <c r="F347" s="9" t="s">
        <v>27</v>
      </c>
      <c r="G347" s="30" t="s">
        <v>297</v>
      </c>
      <c r="H347" s="14">
        <f t="shared" si="17"/>
        <v>45.75</v>
      </c>
      <c r="I347" s="14">
        <f t="shared" si="16"/>
        <v>45.75</v>
      </c>
      <c r="J347" s="14"/>
      <c r="K347" s="14" t="s">
        <v>9</v>
      </c>
    </row>
    <row r="348" spans="2:11" ht="13.2">
      <c r="B348" s="7" t="s">
        <v>458</v>
      </c>
      <c r="C348" s="7" t="s">
        <v>8</v>
      </c>
      <c r="D348" s="8">
        <v>2050</v>
      </c>
      <c r="E348" s="7" t="s">
        <v>78</v>
      </c>
      <c r="F348" s="7" t="s">
        <v>27</v>
      </c>
      <c r="G348" s="35" t="s">
        <v>297</v>
      </c>
      <c r="H348" s="14">
        <f t="shared" si="17"/>
        <v>45.75</v>
      </c>
      <c r="I348" s="14">
        <f t="shared" si="16"/>
        <v>45.75</v>
      </c>
      <c r="J348" s="21"/>
      <c r="K348" s="14" t="s">
        <v>9</v>
      </c>
    </row>
    <row r="349" spans="2:11" ht="13.2">
      <c r="B349" t="s">
        <v>458</v>
      </c>
      <c r="C349" t="s">
        <v>8</v>
      </c>
      <c r="D349" s="6">
        <v>2010</v>
      </c>
      <c r="E349" t="s">
        <v>457</v>
      </c>
      <c r="F349" s="9" t="s">
        <v>27</v>
      </c>
      <c r="G349" s="30" t="s">
        <v>297</v>
      </c>
      <c r="H349" s="14">
        <f t="shared" si="17"/>
        <v>49.10483412971962</v>
      </c>
      <c r="I349" s="14">
        <f t="shared" si="16"/>
        <v>49.10483412971962</v>
      </c>
      <c r="J349" s="14"/>
      <c r="K349" s="14" t="s">
        <v>474</v>
      </c>
    </row>
    <row r="350" spans="2:11" ht="13.2">
      <c r="B350" t="s">
        <v>458</v>
      </c>
      <c r="C350" t="s">
        <v>8</v>
      </c>
      <c r="D350" s="6">
        <v>2011</v>
      </c>
      <c r="E350" t="s">
        <v>457</v>
      </c>
      <c r="F350" s="9" t="s">
        <v>27</v>
      </c>
      <c r="G350" s="30" t="s">
        <v>297</v>
      </c>
      <c r="H350" s="14">
        <f t="shared" si="17"/>
        <v>48.721608572358001</v>
      </c>
      <c r="I350" s="14">
        <f t="shared" si="16"/>
        <v>48.721608572358001</v>
      </c>
      <c r="J350" s="14"/>
      <c r="K350" s="14" t="s">
        <v>474</v>
      </c>
    </row>
    <row r="351" spans="2:11" ht="13.2">
      <c r="B351" t="s">
        <v>458</v>
      </c>
      <c r="C351" t="s">
        <v>8</v>
      </c>
      <c r="D351" s="6">
        <v>2012</v>
      </c>
      <c r="E351" t="s">
        <v>457</v>
      </c>
      <c r="F351" s="9" t="s">
        <v>27</v>
      </c>
      <c r="G351" s="30" t="s">
        <v>297</v>
      </c>
      <c r="H351" s="14">
        <f t="shared" si="17"/>
        <v>48.736631556149753</v>
      </c>
      <c r="I351" s="14">
        <f t="shared" si="16"/>
        <v>48.736631556149753</v>
      </c>
      <c r="J351" s="14"/>
      <c r="K351" s="14" t="s">
        <v>474</v>
      </c>
    </row>
    <row r="352" spans="2:11" ht="13.2">
      <c r="B352" t="s">
        <v>458</v>
      </c>
      <c r="C352" t="s">
        <v>8</v>
      </c>
      <c r="D352" s="6">
        <v>2013</v>
      </c>
      <c r="E352" t="s">
        <v>457</v>
      </c>
      <c r="F352" s="9" t="s">
        <v>27</v>
      </c>
      <c r="G352" s="30" t="s">
        <v>297</v>
      </c>
      <c r="H352" s="14">
        <f t="shared" si="17"/>
        <v>49.16333179103512</v>
      </c>
      <c r="I352" s="14">
        <f t="shared" si="16"/>
        <v>49.16333179103512</v>
      </c>
      <c r="J352" s="14"/>
      <c r="K352" s="14" t="s">
        <v>474</v>
      </c>
    </row>
    <row r="353" spans="2:11" ht="13.2">
      <c r="B353" t="s">
        <v>458</v>
      </c>
      <c r="C353" t="s">
        <v>8</v>
      </c>
      <c r="D353" s="6">
        <v>2014</v>
      </c>
      <c r="E353" t="s">
        <v>457</v>
      </c>
      <c r="F353" s="9" t="s">
        <v>27</v>
      </c>
      <c r="G353" s="30" t="s">
        <v>297</v>
      </c>
      <c r="H353" s="14">
        <f t="shared" si="17"/>
        <v>49.664714867617107</v>
      </c>
      <c r="I353" s="14">
        <f t="shared" si="16"/>
        <v>49.664714867617107</v>
      </c>
      <c r="J353" s="14"/>
      <c r="K353" s="14" t="s">
        <v>474</v>
      </c>
    </row>
    <row r="354" spans="2:11" ht="13.2">
      <c r="B354" t="s">
        <v>458</v>
      </c>
      <c r="C354" t="s">
        <v>8</v>
      </c>
      <c r="D354" s="6">
        <v>2015</v>
      </c>
      <c r="E354" t="s">
        <v>457</v>
      </c>
      <c r="F354" s="9" t="s">
        <v>27</v>
      </c>
      <c r="G354" s="30" t="s">
        <v>297</v>
      </c>
      <c r="H354" s="14">
        <f t="shared" si="17"/>
        <v>45.75</v>
      </c>
      <c r="I354" s="14">
        <f t="shared" si="16"/>
        <v>45.75</v>
      </c>
      <c r="J354" s="14"/>
      <c r="K354" s="14" t="s">
        <v>474</v>
      </c>
    </row>
    <row r="355" spans="2:11" ht="13.2">
      <c r="B355" t="s">
        <v>458</v>
      </c>
      <c r="C355" t="s">
        <v>8</v>
      </c>
      <c r="D355" s="6">
        <v>2016</v>
      </c>
      <c r="E355" t="s">
        <v>457</v>
      </c>
      <c r="F355" s="9" t="s">
        <v>27</v>
      </c>
      <c r="G355" s="30" t="s">
        <v>297</v>
      </c>
      <c r="H355" s="14">
        <f t="shared" si="17"/>
        <v>45.75</v>
      </c>
      <c r="I355" s="14">
        <f t="shared" si="16"/>
        <v>45.75</v>
      </c>
      <c r="J355" s="14"/>
      <c r="K355" s="14" t="s">
        <v>474</v>
      </c>
    </row>
    <row r="356" spans="2:11" ht="13.2">
      <c r="B356" t="s">
        <v>458</v>
      </c>
      <c r="C356" t="s">
        <v>8</v>
      </c>
      <c r="D356" s="6">
        <v>2017</v>
      </c>
      <c r="E356" t="s">
        <v>457</v>
      </c>
      <c r="F356" s="9" t="s">
        <v>27</v>
      </c>
      <c r="G356" s="30" t="s">
        <v>297</v>
      </c>
      <c r="H356" s="14">
        <f t="shared" si="17"/>
        <v>45.75</v>
      </c>
      <c r="I356" s="14">
        <f t="shared" si="16"/>
        <v>45.75</v>
      </c>
      <c r="J356" s="14"/>
      <c r="K356" s="14" t="s">
        <v>474</v>
      </c>
    </row>
    <row r="357" spans="2:11" ht="13.2">
      <c r="B357" t="s">
        <v>458</v>
      </c>
      <c r="C357" t="s">
        <v>8</v>
      </c>
      <c r="D357" s="6">
        <v>2018</v>
      </c>
      <c r="E357" t="s">
        <v>457</v>
      </c>
      <c r="F357" s="9" t="s">
        <v>27</v>
      </c>
      <c r="G357" s="30" t="s">
        <v>297</v>
      </c>
      <c r="H357" s="14">
        <f t="shared" si="17"/>
        <v>45.75</v>
      </c>
      <c r="I357" s="14">
        <f t="shared" si="16"/>
        <v>45.75</v>
      </c>
      <c r="J357" s="14"/>
      <c r="K357" s="14" t="s">
        <v>474</v>
      </c>
    </row>
    <row r="358" spans="2:11" ht="13.2">
      <c r="B358" t="s">
        <v>458</v>
      </c>
      <c r="C358" t="s">
        <v>8</v>
      </c>
      <c r="D358" s="6">
        <v>2019</v>
      </c>
      <c r="E358" t="s">
        <v>457</v>
      </c>
      <c r="F358" s="9" t="s">
        <v>27</v>
      </c>
      <c r="G358" s="30" t="s">
        <v>297</v>
      </c>
      <c r="H358" s="14">
        <f t="shared" si="17"/>
        <v>45.75</v>
      </c>
      <c r="I358" s="14">
        <f t="shared" si="16"/>
        <v>45.75</v>
      </c>
      <c r="J358" s="14"/>
      <c r="K358" s="14" t="s">
        <v>474</v>
      </c>
    </row>
    <row r="359" spans="2:11" ht="13.2">
      <c r="B359" t="s">
        <v>458</v>
      </c>
      <c r="C359" t="s">
        <v>8</v>
      </c>
      <c r="D359" s="6">
        <v>2020</v>
      </c>
      <c r="E359" t="s">
        <v>457</v>
      </c>
      <c r="F359" s="9" t="s">
        <v>27</v>
      </c>
      <c r="G359" s="30" t="s">
        <v>297</v>
      </c>
      <c r="H359" s="14">
        <f t="shared" si="17"/>
        <v>45.75</v>
      </c>
      <c r="I359" s="14">
        <f t="shared" si="16"/>
        <v>45.75</v>
      </c>
      <c r="J359" s="14"/>
      <c r="K359" s="14" t="s">
        <v>474</v>
      </c>
    </row>
    <row r="360" spans="2:11" ht="13.2">
      <c r="B360" t="s">
        <v>458</v>
      </c>
      <c r="C360" t="s">
        <v>8</v>
      </c>
      <c r="D360" s="6">
        <v>2021</v>
      </c>
      <c r="E360" t="s">
        <v>457</v>
      </c>
      <c r="F360" s="9" t="s">
        <v>27</v>
      </c>
      <c r="G360" s="30" t="s">
        <v>297</v>
      </c>
      <c r="H360" s="14">
        <f t="shared" si="17"/>
        <v>45.75</v>
      </c>
      <c r="I360" s="14">
        <f t="shared" si="16"/>
        <v>45.75</v>
      </c>
      <c r="J360" s="14"/>
      <c r="K360" s="14" t="s">
        <v>474</v>
      </c>
    </row>
    <row r="361" spans="2:11" ht="13.2">
      <c r="B361" t="s">
        <v>458</v>
      </c>
      <c r="C361" t="s">
        <v>8</v>
      </c>
      <c r="D361" s="6">
        <v>2022</v>
      </c>
      <c r="E361" t="s">
        <v>457</v>
      </c>
      <c r="F361" s="9" t="s">
        <v>27</v>
      </c>
      <c r="G361" s="30" t="s">
        <v>297</v>
      </c>
      <c r="H361" s="14">
        <f t="shared" si="17"/>
        <v>45.75</v>
      </c>
      <c r="I361" s="14">
        <f t="shared" si="16"/>
        <v>45.75</v>
      </c>
      <c r="J361" s="14"/>
      <c r="K361" s="14" t="s">
        <v>474</v>
      </c>
    </row>
    <row r="362" spans="2:11" ht="13.2">
      <c r="B362" t="s">
        <v>458</v>
      </c>
      <c r="C362" t="s">
        <v>8</v>
      </c>
      <c r="D362" s="6">
        <v>2023</v>
      </c>
      <c r="E362" t="s">
        <v>457</v>
      </c>
      <c r="F362" s="9" t="s">
        <v>27</v>
      </c>
      <c r="G362" s="30" t="s">
        <v>297</v>
      </c>
      <c r="H362" s="14">
        <f t="shared" si="17"/>
        <v>45.75</v>
      </c>
      <c r="I362" s="14">
        <f t="shared" si="16"/>
        <v>45.75</v>
      </c>
      <c r="J362" s="14"/>
      <c r="K362" s="14" t="s">
        <v>474</v>
      </c>
    </row>
    <row r="363" spans="2:11" ht="13.2">
      <c r="B363" t="s">
        <v>458</v>
      </c>
      <c r="C363" t="s">
        <v>8</v>
      </c>
      <c r="D363" s="6">
        <v>2024</v>
      </c>
      <c r="E363" t="s">
        <v>457</v>
      </c>
      <c r="F363" s="9" t="s">
        <v>27</v>
      </c>
      <c r="G363" s="30" t="s">
        <v>297</v>
      </c>
      <c r="H363" s="14">
        <f t="shared" si="17"/>
        <v>45.75</v>
      </c>
      <c r="I363" s="14">
        <f t="shared" si="16"/>
        <v>45.75</v>
      </c>
      <c r="J363" s="14"/>
      <c r="K363" s="14" t="s">
        <v>474</v>
      </c>
    </row>
    <row r="364" spans="2:11" ht="13.2">
      <c r="B364" t="s">
        <v>458</v>
      </c>
      <c r="C364" t="s">
        <v>8</v>
      </c>
      <c r="D364" s="6">
        <v>2025</v>
      </c>
      <c r="E364" t="s">
        <v>457</v>
      </c>
      <c r="F364" s="9" t="s">
        <v>27</v>
      </c>
      <c r="G364" s="30" t="s">
        <v>297</v>
      </c>
      <c r="H364" s="14">
        <f t="shared" si="17"/>
        <v>45.75</v>
      </c>
      <c r="I364" s="14">
        <f t="shared" si="16"/>
        <v>45.75</v>
      </c>
      <c r="J364" s="14"/>
      <c r="K364" s="14" t="s">
        <v>474</v>
      </c>
    </row>
    <row r="365" spans="2:11" ht="13.2">
      <c r="B365" t="s">
        <v>458</v>
      </c>
      <c r="C365" t="s">
        <v>8</v>
      </c>
      <c r="D365" s="6">
        <v>2026</v>
      </c>
      <c r="E365" t="s">
        <v>457</v>
      </c>
      <c r="F365" s="9" t="s">
        <v>27</v>
      </c>
      <c r="G365" s="30" t="s">
        <v>297</v>
      </c>
      <c r="H365" s="14">
        <f t="shared" si="17"/>
        <v>45.75</v>
      </c>
      <c r="I365" s="14">
        <f t="shared" si="16"/>
        <v>45.75</v>
      </c>
      <c r="J365" s="14"/>
      <c r="K365" s="14" t="s">
        <v>474</v>
      </c>
    </row>
    <row r="366" spans="2:11" ht="13.2">
      <c r="B366" t="s">
        <v>458</v>
      </c>
      <c r="C366" t="s">
        <v>8</v>
      </c>
      <c r="D366" s="6">
        <v>2027</v>
      </c>
      <c r="E366" t="s">
        <v>457</v>
      </c>
      <c r="F366" s="9" t="s">
        <v>27</v>
      </c>
      <c r="G366" s="30" t="s">
        <v>297</v>
      </c>
      <c r="H366" s="14">
        <f t="shared" si="17"/>
        <v>45.75</v>
      </c>
      <c r="I366" s="14">
        <f t="shared" si="16"/>
        <v>45.75</v>
      </c>
      <c r="J366" s="14"/>
      <c r="K366" s="14" t="s">
        <v>474</v>
      </c>
    </row>
    <row r="367" spans="2:11" ht="13.2">
      <c r="B367" t="s">
        <v>458</v>
      </c>
      <c r="C367" t="s">
        <v>8</v>
      </c>
      <c r="D367" s="6">
        <v>2028</v>
      </c>
      <c r="E367" t="s">
        <v>457</v>
      </c>
      <c r="F367" s="9" t="s">
        <v>27</v>
      </c>
      <c r="G367" s="30" t="s">
        <v>297</v>
      </c>
      <c r="H367" s="14">
        <f t="shared" si="17"/>
        <v>45.75</v>
      </c>
      <c r="I367" s="14">
        <f t="shared" si="16"/>
        <v>45.75</v>
      </c>
      <c r="J367" s="14"/>
      <c r="K367" s="14" t="s">
        <v>474</v>
      </c>
    </row>
    <row r="368" spans="2:11" ht="13.2">
      <c r="B368" t="s">
        <v>458</v>
      </c>
      <c r="C368" t="s">
        <v>8</v>
      </c>
      <c r="D368" s="6">
        <v>2029</v>
      </c>
      <c r="E368" t="s">
        <v>457</v>
      </c>
      <c r="F368" s="9" t="s">
        <v>27</v>
      </c>
      <c r="G368" s="30" t="s">
        <v>297</v>
      </c>
      <c r="H368" s="14">
        <f t="shared" si="17"/>
        <v>45.75</v>
      </c>
      <c r="I368" s="14">
        <f t="shared" si="16"/>
        <v>45.75</v>
      </c>
      <c r="J368" s="14"/>
      <c r="K368" s="14" t="s">
        <v>474</v>
      </c>
    </row>
    <row r="369" spans="2:11" ht="13.2">
      <c r="B369" t="s">
        <v>458</v>
      </c>
      <c r="C369" t="s">
        <v>8</v>
      </c>
      <c r="D369" s="6">
        <v>2030</v>
      </c>
      <c r="E369" t="s">
        <v>457</v>
      </c>
      <c r="F369" s="9" t="s">
        <v>27</v>
      </c>
      <c r="G369" s="30" t="s">
        <v>297</v>
      </c>
      <c r="H369" s="14">
        <f t="shared" si="17"/>
        <v>45.75</v>
      </c>
      <c r="I369" s="14">
        <f t="shared" si="16"/>
        <v>45.75</v>
      </c>
      <c r="J369" s="14"/>
      <c r="K369" s="14" t="s">
        <v>474</v>
      </c>
    </row>
    <row r="370" spans="2:11" ht="13.2">
      <c r="B370" t="s">
        <v>458</v>
      </c>
      <c r="C370" t="s">
        <v>8</v>
      </c>
      <c r="D370" s="6">
        <v>2031</v>
      </c>
      <c r="E370" t="s">
        <v>457</v>
      </c>
      <c r="F370" s="9" t="s">
        <v>27</v>
      </c>
      <c r="G370" s="30" t="s">
        <v>297</v>
      </c>
      <c r="H370" s="14">
        <f t="shared" si="17"/>
        <v>45.75</v>
      </c>
      <c r="I370" s="14">
        <f t="shared" si="16"/>
        <v>45.75</v>
      </c>
      <c r="J370" s="14"/>
      <c r="K370" s="14" t="s">
        <v>474</v>
      </c>
    </row>
    <row r="371" spans="2:11" ht="13.2">
      <c r="B371" t="s">
        <v>458</v>
      </c>
      <c r="C371" t="s">
        <v>8</v>
      </c>
      <c r="D371" s="6">
        <v>2032</v>
      </c>
      <c r="E371" t="s">
        <v>457</v>
      </c>
      <c r="F371" s="9" t="s">
        <v>27</v>
      </c>
      <c r="G371" s="30" t="s">
        <v>297</v>
      </c>
      <c r="H371" s="14">
        <f t="shared" si="17"/>
        <v>45.75</v>
      </c>
      <c r="I371" s="14">
        <f t="shared" si="16"/>
        <v>45.75</v>
      </c>
      <c r="J371" s="14"/>
      <c r="K371" s="14" t="s">
        <v>474</v>
      </c>
    </row>
    <row r="372" spans="2:11" ht="13.2">
      <c r="B372" t="s">
        <v>458</v>
      </c>
      <c r="C372" t="s">
        <v>8</v>
      </c>
      <c r="D372" s="6">
        <v>2033</v>
      </c>
      <c r="E372" t="s">
        <v>457</v>
      </c>
      <c r="F372" s="9" t="s">
        <v>27</v>
      </c>
      <c r="G372" s="30" t="s">
        <v>297</v>
      </c>
      <c r="H372" s="14">
        <f t="shared" si="17"/>
        <v>45.75</v>
      </c>
      <c r="I372" s="14">
        <f t="shared" ref="I372:I430" si="18">H372</f>
        <v>45.75</v>
      </c>
      <c r="J372" s="14"/>
      <c r="K372" s="14" t="s">
        <v>474</v>
      </c>
    </row>
    <row r="373" spans="2:11" ht="13.2">
      <c r="B373" t="s">
        <v>458</v>
      </c>
      <c r="C373" t="s">
        <v>8</v>
      </c>
      <c r="D373" s="6">
        <v>2034</v>
      </c>
      <c r="E373" t="s">
        <v>457</v>
      </c>
      <c r="F373" s="9" t="s">
        <v>27</v>
      </c>
      <c r="G373" s="30" t="s">
        <v>297</v>
      </c>
      <c r="H373" s="14">
        <f t="shared" si="17"/>
        <v>45.75</v>
      </c>
      <c r="I373" s="14">
        <f t="shared" si="18"/>
        <v>45.75</v>
      </c>
      <c r="J373" s="14"/>
      <c r="K373" s="14" t="s">
        <v>474</v>
      </c>
    </row>
    <row r="374" spans="2:11" ht="13.2">
      <c r="B374" t="s">
        <v>458</v>
      </c>
      <c r="C374" t="s">
        <v>8</v>
      </c>
      <c r="D374" s="6">
        <v>2035</v>
      </c>
      <c r="E374" t="s">
        <v>457</v>
      </c>
      <c r="F374" s="9" t="s">
        <v>27</v>
      </c>
      <c r="G374" s="30" t="s">
        <v>297</v>
      </c>
      <c r="H374" s="14">
        <f t="shared" si="17"/>
        <v>45.75</v>
      </c>
      <c r="I374" s="14">
        <f t="shared" si="18"/>
        <v>45.75</v>
      </c>
      <c r="J374" s="14"/>
      <c r="K374" s="14" t="s">
        <v>474</v>
      </c>
    </row>
    <row r="375" spans="2:11" ht="13.2">
      <c r="B375" t="s">
        <v>458</v>
      </c>
      <c r="C375" t="s">
        <v>8</v>
      </c>
      <c r="D375" s="6">
        <v>2036</v>
      </c>
      <c r="E375" t="s">
        <v>457</v>
      </c>
      <c r="F375" s="9" t="s">
        <v>27</v>
      </c>
      <c r="G375" s="30" t="s">
        <v>297</v>
      </c>
      <c r="H375" s="14">
        <f t="shared" si="17"/>
        <v>45.75</v>
      </c>
      <c r="I375" s="14">
        <f t="shared" si="18"/>
        <v>45.75</v>
      </c>
      <c r="J375" s="14"/>
      <c r="K375" s="14" t="s">
        <v>474</v>
      </c>
    </row>
    <row r="376" spans="2:11" ht="13.2">
      <c r="B376" t="s">
        <v>458</v>
      </c>
      <c r="C376" t="s">
        <v>8</v>
      </c>
      <c r="D376" s="6">
        <v>2037</v>
      </c>
      <c r="E376" t="s">
        <v>457</v>
      </c>
      <c r="F376" s="9" t="s">
        <v>27</v>
      </c>
      <c r="G376" s="30" t="s">
        <v>297</v>
      </c>
      <c r="H376" s="14">
        <f t="shared" si="17"/>
        <v>45.75</v>
      </c>
      <c r="I376" s="14">
        <f t="shared" si="18"/>
        <v>45.75</v>
      </c>
      <c r="J376" s="14"/>
      <c r="K376" s="14" t="s">
        <v>474</v>
      </c>
    </row>
    <row r="377" spans="2:11" ht="13.2">
      <c r="B377" t="s">
        <v>458</v>
      </c>
      <c r="C377" t="s">
        <v>8</v>
      </c>
      <c r="D377" s="6">
        <v>2038</v>
      </c>
      <c r="E377" t="s">
        <v>457</v>
      </c>
      <c r="F377" s="9" t="s">
        <v>27</v>
      </c>
      <c r="G377" s="30" t="s">
        <v>297</v>
      </c>
      <c r="H377" s="14">
        <f t="shared" si="17"/>
        <v>45.75</v>
      </c>
      <c r="I377" s="14">
        <f t="shared" si="18"/>
        <v>45.75</v>
      </c>
      <c r="J377" s="14"/>
      <c r="K377" s="14" t="s">
        <v>474</v>
      </c>
    </row>
    <row r="378" spans="2:11" ht="13.2">
      <c r="B378" t="s">
        <v>458</v>
      </c>
      <c r="C378" t="s">
        <v>8</v>
      </c>
      <c r="D378" s="6">
        <v>2039</v>
      </c>
      <c r="E378" t="s">
        <v>457</v>
      </c>
      <c r="F378" s="9" t="s">
        <v>27</v>
      </c>
      <c r="G378" s="30" t="s">
        <v>297</v>
      </c>
      <c r="H378" s="14">
        <f t="shared" si="17"/>
        <v>45.75</v>
      </c>
      <c r="I378" s="14">
        <f t="shared" si="18"/>
        <v>45.75</v>
      </c>
      <c r="J378" s="14"/>
      <c r="K378" s="14" t="s">
        <v>474</v>
      </c>
    </row>
    <row r="379" spans="2:11" ht="13.2">
      <c r="B379" t="s">
        <v>458</v>
      </c>
      <c r="C379" t="s">
        <v>8</v>
      </c>
      <c r="D379" s="6">
        <v>2040</v>
      </c>
      <c r="E379" t="s">
        <v>457</v>
      </c>
      <c r="F379" s="9" t="s">
        <v>27</v>
      </c>
      <c r="G379" s="30" t="s">
        <v>297</v>
      </c>
      <c r="H379" s="14">
        <f t="shared" si="17"/>
        <v>45.75</v>
      </c>
      <c r="I379" s="14">
        <f t="shared" si="18"/>
        <v>45.75</v>
      </c>
      <c r="J379" s="14"/>
      <c r="K379" s="14" t="s">
        <v>474</v>
      </c>
    </row>
    <row r="380" spans="2:11" ht="13.2">
      <c r="B380" t="s">
        <v>458</v>
      </c>
      <c r="C380" t="s">
        <v>8</v>
      </c>
      <c r="D380" s="6">
        <v>2041</v>
      </c>
      <c r="E380" t="s">
        <v>457</v>
      </c>
      <c r="F380" s="9" t="s">
        <v>27</v>
      </c>
      <c r="G380" s="30" t="s">
        <v>297</v>
      </c>
      <c r="H380" s="14">
        <f t="shared" si="17"/>
        <v>45.75</v>
      </c>
      <c r="I380" s="14">
        <f t="shared" si="18"/>
        <v>45.75</v>
      </c>
      <c r="J380" s="14"/>
      <c r="K380" s="14" t="s">
        <v>474</v>
      </c>
    </row>
    <row r="381" spans="2:11" ht="13.2">
      <c r="B381" t="s">
        <v>458</v>
      </c>
      <c r="C381" t="s">
        <v>8</v>
      </c>
      <c r="D381" s="6">
        <v>2042</v>
      </c>
      <c r="E381" t="s">
        <v>457</v>
      </c>
      <c r="F381" s="9" t="s">
        <v>27</v>
      </c>
      <c r="G381" s="30" t="s">
        <v>297</v>
      </c>
      <c r="H381" s="14">
        <f t="shared" si="17"/>
        <v>45.75</v>
      </c>
      <c r="I381" s="14">
        <f t="shared" si="18"/>
        <v>45.75</v>
      </c>
      <c r="J381" s="14"/>
      <c r="K381" s="14" t="s">
        <v>474</v>
      </c>
    </row>
    <row r="382" spans="2:11" ht="13.2">
      <c r="B382" t="s">
        <v>458</v>
      </c>
      <c r="C382" t="s">
        <v>8</v>
      </c>
      <c r="D382" s="6">
        <v>2043</v>
      </c>
      <c r="E382" t="s">
        <v>457</v>
      </c>
      <c r="F382" s="9" t="s">
        <v>27</v>
      </c>
      <c r="G382" s="30" t="s">
        <v>297</v>
      </c>
      <c r="H382" s="14">
        <f t="shared" si="17"/>
        <v>45.75</v>
      </c>
      <c r="I382" s="14">
        <f t="shared" si="18"/>
        <v>45.75</v>
      </c>
      <c r="J382" s="14"/>
      <c r="K382" s="14" t="s">
        <v>474</v>
      </c>
    </row>
    <row r="383" spans="2:11" ht="13.2">
      <c r="B383" t="s">
        <v>458</v>
      </c>
      <c r="C383" t="s">
        <v>8</v>
      </c>
      <c r="D383" s="6">
        <v>2044</v>
      </c>
      <c r="E383" t="s">
        <v>457</v>
      </c>
      <c r="F383" s="9" t="s">
        <v>27</v>
      </c>
      <c r="G383" s="30" t="s">
        <v>297</v>
      </c>
      <c r="H383" s="14">
        <f t="shared" si="17"/>
        <v>45.75</v>
      </c>
      <c r="I383" s="14">
        <f t="shared" si="18"/>
        <v>45.75</v>
      </c>
      <c r="J383" s="14"/>
      <c r="K383" s="14" t="s">
        <v>474</v>
      </c>
    </row>
    <row r="384" spans="2:11" ht="13.2">
      <c r="B384" t="s">
        <v>458</v>
      </c>
      <c r="C384" t="s">
        <v>8</v>
      </c>
      <c r="D384" s="6">
        <v>2045</v>
      </c>
      <c r="E384" t="s">
        <v>457</v>
      </c>
      <c r="F384" s="9" t="s">
        <v>27</v>
      </c>
      <c r="G384" s="30" t="s">
        <v>297</v>
      </c>
      <c r="H384" s="14">
        <f t="shared" si="17"/>
        <v>45.75</v>
      </c>
      <c r="I384" s="14">
        <f t="shared" si="18"/>
        <v>45.75</v>
      </c>
      <c r="J384" s="14"/>
      <c r="K384" s="14" t="s">
        <v>474</v>
      </c>
    </row>
    <row r="385" spans="2:11" ht="13.2">
      <c r="B385" t="s">
        <v>458</v>
      </c>
      <c r="C385" t="s">
        <v>8</v>
      </c>
      <c r="D385" s="6">
        <v>2046</v>
      </c>
      <c r="E385" t="s">
        <v>457</v>
      </c>
      <c r="F385" s="9" t="s">
        <v>27</v>
      </c>
      <c r="G385" s="30" t="s">
        <v>297</v>
      </c>
      <c r="H385" s="14">
        <f t="shared" si="17"/>
        <v>45.75</v>
      </c>
      <c r="I385" s="14">
        <f t="shared" si="18"/>
        <v>45.75</v>
      </c>
      <c r="J385" s="14"/>
      <c r="K385" s="14" t="s">
        <v>474</v>
      </c>
    </row>
    <row r="386" spans="2:11" ht="13.2">
      <c r="B386" t="s">
        <v>458</v>
      </c>
      <c r="C386" t="s">
        <v>8</v>
      </c>
      <c r="D386" s="6">
        <v>2047</v>
      </c>
      <c r="E386" t="s">
        <v>457</v>
      </c>
      <c r="F386" s="9" t="s">
        <v>27</v>
      </c>
      <c r="G386" s="30" t="s">
        <v>297</v>
      </c>
      <c r="H386" s="14">
        <f t="shared" si="17"/>
        <v>45.75</v>
      </c>
      <c r="I386" s="14">
        <f t="shared" si="18"/>
        <v>45.75</v>
      </c>
      <c r="J386" s="14"/>
      <c r="K386" s="14" t="s">
        <v>474</v>
      </c>
    </row>
    <row r="387" spans="2:11" ht="13.2">
      <c r="B387" t="s">
        <v>458</v>
      </c>
      <c r="C387" t="s">
        <v>8</v>
      </c>
      <c r="D387" s="6">
        <v>2048</v>
      </c>
      <c r="E387" t="s">
        <v>457</v>
      </c>
      <c r="F387" s="9" t="s">
        <v>27</v>
      </c>
      <c r="G387" s="30" t="s">
        <v>297</v>
      </c>
      <c r="H387" s="14">
        <f t="shared" si="17"/>
        <v>45.75</v>
      </c>
      <c r="I387" s="14">
        <f t="shared" si="18"/>
        <v>45.75</v>
      </c>
      <c r="J387" s="14"/>
      <c r="K387" s="14" t="s">
        <v>474</v>
      </c>
    </row>
    <row r="388" spans="2:11" ht="13.2">
      <c r="B388" t="s">
        <v>458</v>
      </c>
      <c r="C388" t="s">
        <v>8</v>
      </c>
      <c r="D388" s="6">
        <v>2049</v>
      </c>
      <c r="E388" t="s">
        <v>457</v>
      </c>
      <c r="F388" s="9" t="s">
        <v>27</v>
      </c>
      <c r="G388" s="30" t="s">
        <v>297</v>
      </c>
      <c r="H388" s="14">
        <f t="shared" si="17"/>
        <v>45.75</v>
      </c>
      <c r="I388" s="14">
        <f t="shared" si="18"/>
        <v>45.75</v>
      </c>
      <c r="J388" s="14"/>
      <c r="K388" s="14" t="s">
        <v>474</v>
      </c>
    </row>
    <row r="389" spans="2:11" ht="13.2">
      <c r="B389" s="7" t="s">
        <v>458</v>
      </c>
      <c r="C389" s="7" t="s">
        <v>8</v>
      </c>
      <c r="D389" s="8">
        <v>2050</v>
      </c>
      <c r="E389" s="7" t="s">
        <v>457</v>
      </c>
      <c r="F389" s="7" t="s">
        <v>27</v>
      </c>
      <c r="G389" s="35" t="s">
        <v>297</v>
      </c>
      <c r="H389" s="21">
        <f t="shared" si="17"/>
        <v>45.75</v>
      </c>
      <c r="I389" s="21">
        <f t="shared" si="18"/>
        <v>45.75</v>
      </c>
      <c r="J389" s="21"/>
      <c r="K389" s="21" t="s">
        <v>474</v>
      </c>
    </row>
    <row r="390" spans="2:11" ht="13.2">
      <c r="B390" t="s">
        <v>458</v>
      </c>
      <c r="C390" t="s">
        <v>8</v>
      </c>
      <c r="D390" s="6">
        <v>2010</v>
      </c>
      <c r="E390" t="s">
        <v>78</v>
      </c>
      <c r="F390" s="9" t="s">
        <v>27</v>
      </c>
      <c r="G390" s="30" t="s">
        <v>297</v>
      </c>
      <c r="H390" s="14">
        <f t="shared" si="17"/>
        <v>49.10483412971962</v>
      </c>
      <c r="I390" s="14">
        <f t="shared" si="18"/>
        <v>49.10483412971962</v>
      </c>
      <c r="J390" s="14"/>
      <c r="K390" s="14" t="s">
        <v>474</v>
      </c>
    </row>
    <row r="391" spans="2:11" ht="13.2">
      <c r="B391" t="s">
        <v>458</v>
      </c>
      <c r="C391" t="s">
        <v>8</v>
      </c>
      <c r="D391" s="6">
        <v>2011</v>
      </c>
      <c r="E391" t="s">
        <v>78</v>
      </c>
      <c r="F391" s="9" t="s">
        <v>27</v>
      </c>
      <c r="G391" s="30" t="s">
        <v>297</v>
      </c>
      <c r="H391" s="14">
        <f t="shared" si="17"/>
        <v>48.721608572358001</v>
      </c>
      <c r="I391" s="14">
        <f t="shared" si="18"/>
        <v>48.721608572358001</v>
      </c>
      <c r="J391" s="14"/>
      <c r="K391" s="14" t="s">
        <v>474</v>
      </c>
    </row>
    <row r="392" spans="2:11" ht="13.2">
      <c r="B392" t="s">
        <v>458</v>
      </c>
      <c r="C392" t="s">
        <v>8</v>
      </c>
      <c r="D392" s="6">
        <v>2012</v>
      </c>
      <c r="E392" t="s">
        <v>78</v>
      </c>
      <c r="F392" s="9" t="s">
        <v>27</v>
      </c>
      <c r="G392" s="30" t="s">
        <v>297</v>
      </c>
      <c r="H392" s="14">
        <f t="shared" si="17"/>
        <v>48.736631556149753</v>
      </c>
      <c r="I392" s="14">
        <f t="shared" si="18"/>
        <v>48.736631556149753</v>
      </c>
      <c r="J392" s="14"/>
      <c r="K392" s="14" t="s">
        <v>474</v>
      </c>
    </row>
    <row r="393" spans="2:11" ht="13.2">
      <c r="B393" t="s">
        <v>458</v>
      </c>
      <c r="C393" t="s">
        <v>8</v>
      </c>
      <c r="D393" s="6">
        <v>2013</v>
      </c>
      <c r="E393" t="s">
        <v>78</v>
      </c>
      <c r="F393" s="9" t="s">
        <v>27</v>
      </c>
      <c r="G393" s="30" t="s">
        <v>297</v>
      </c>
      <c r="H393" s="14">
        <f t="shared" si="17"/>
        <v>49.16333179103512</v>
      </c>
      <c r="I393" s="14">
        <f t="shared" si="18"/>
        <v>49.16333179103512</v>
      </c>
      <c r="J393" s="14"/>
      <c r="K393" s="14" t="s">
        <v>474</v>
      </c>
    </row>
    <row r="394" spans="2:11" ht="13.2">
      <c r="B394" t="s">
        <v>458</v>
      </c>
      <c r="C394" t="s">
        <v>8</v>
      </c>
      <c r="D394" s="6">
        <v>2014</v>
      </c>
      <c r="E394" t="s">
        <v>78</v>
      </c>
      <c r="F394" s="9" t="s">
        <v>27</v>
      </c>
      <c r="G394" s="30" t="s">
        <v>297</v>
      </c>
      <c r="H394" s="14">
        <f t="shared" si="17"/>
        <v>49.664714867617107</v>
      </c>
      <c r="I394" s="14">
        <f t="shared" si="18"/>
        <v>49.664714867617107</v>
      </c>
      <c r="J394" s="14"/>
      <c r="K394" s="14" t="s">
        <v>474</v>
      </c>
    </row>
    <row r="395" spans="2:11" ht="13.2">
      <c r="B395" t="s">
        <v>458</v>
      </c>
      <c r="C395" t="s">
        <v>8</v>
      </c>
      <c r="D395" s="6">
        <v>2015</v>
      </c>
      <c r="E395" t="s">
        <v>78</v>
      </c>
      <c r="F395" s="9" t="s">
        <v>27</v>
      </c>
      <c r="G395" s="30" t="s">
        <v>297</v>
      </c>
      <c r="H395" s="14">
        <f t="shared" si="17"/>
        <v>45.75</v>
      </c>
      <c r="I395" s="14">
        <f t="shared" si="18"/>
        <v>45.75</v>
      </c>
      <c r="J395" s="14"/>
      <c r="K395" s="14" t="s">
        <v>474</v>
      </c>
    </row>
    <row r="396" spans="2:11" ht="13.2">
      <c r="B396" t="s">
        <v>458</v>
      </c>
      <c r="C396" t="s">
        <v>8</v>
      </c>
      <c r="D396" s="6">
        <v>2016</v>
      </c>
      <c r="E396" t="s">
        <v>78</v>
      </c>
      <c r="F396" s="9" t="s">
        <v>27</v>
      </c>
      <c r="G396" s="30" t="s">
        <v>297</v>
      </c>
      <c r="H396" s="14">
        <f t="shared" si="17"/>
        <v>45.75</v>
      </c>
      <c r="I396" s="14">
        <f t="shared" si="18"/>
        <v>45.75</v>
      </c>
      <c r="J396" s="14"/>
      <c r="K396" s="14" t="s">
        <v>474</v>
      </c>
    </row>
    <row r="397" spans="2:11" ht="13.2">
      <c r="B397" t="s">
        <v>458</v>
      </c>
      <c r="C397" t="s">
        <v>8</v>
      </c>
      <c r="D397" s="6">
        <v>2017</v>
      </c>
      <c r="E397" t="s">
        <v>78</v>
      </c>
      <c r="F397" s="9" t="s">
        <v>27</v>
      </c>
      <c r="G397" s="30" t="s">
        <v>297</v>
      </c>
      <c r="H397" s="14">
        <f t="shared" si="17"/>
        <v>45.75</v>
      </c>
      <c r="I397" s="14">
        <f t="shared" si="18"/>
        <v>45.75</v>
      </c>
      <c r="J397" s="14"/>
      <c r="K397" s="14" t="s">
        <v>474</v>
      </c>
    </row>
    <row r="398" spans="2:11" ht="13.2">
      <c r="B398" t="s">
        <v>458</v>
      </c>
      <c r="C398" t="s">
        <v>8</v>
      </c>
      <c r="D398" s="6">
        <v>2018</v>
      </c>
      <c r="E398" t="s">
        <v>78</v>
      </c>
      <c r="F398" s="9" t="s">
        <v>27</v>
      </c>
      <c r="G398" s="30" t="s">
        <v>297</v>
      </c>
      <c r="H398" s="14">
        <f t="shared" si="17"/>
        <v>45.75</v>
      </c>
      <c r="I398" s="14">
        <f t="shared" si="18"/>
        <v>45.75</v>
      </c>
      <c r="J398" s="14"/>
      <c r="K398" s="14" t="s">
        <v>474</v>
      </c>
    </row>
    <row r="399" spans="2:11" ht="13.2">
      <c r="B399" t="s">
        <v>458</v>
      </c>
      <c r="C399" t="s">
        <v>8</v>
      </c>
      <c r="D399" s="6">
        <v>2019</v>
      </c>
      <c r="E399" t="s">
        <v>78</v>
      </c>
      <c r="F399" s="9" t="s">
        <v>27</v>
      </c>
      <c r="G399" s="30" t="s">
        <v>297</v>
      </c>
      <c r="H399" s="14">
        <f t="shared" si="17"/>
        <v>45.75</v>
      </c>
      <c r="I399" s="14">
        <f t="shared" si="18"/>
        <v>45.75</v>
      </c>
      <c r="J399" s="14"/>
      <c r="K399" s="14" t="s">
        <v>474</v>
      </c>
    </row>
    <row r="400" spans="2:11" ht="13.2">
      <c r="B400" t="s">
        <v>458</v>
      </c>
      <c r="C400" t="s">
        <v>8</v>
      </c>
      <c r="D400" s="6">
        <v>2020</v>
      </c>
      <c r="E400" t="s">
        <v>78</v>
      </c>
      <c r="F400" s="9" t="s">
        <v>27</v>
      </c>
      <c r="G400" s="30" t="s">
        <v>297</v>
      </c>
      <c r="H400" s="14">
        <f t="shared" si="17"/>
        <v>45.75</v>
      </c>
      <c r="I400" s="14">
        <f t="shared" si="18"/>
        <v>45.75</v>
      </c>
      <c r="J400" s="14"/>
      <c r="K400" s="14" t="s">
        <v>474</v>
      </c>
    </row>
    <row r="401" spans="2:11" ht="13.2">
      <c r="B401" t="s">
        <v>458</v>
      </c>
      <c r="C401" t="s">
        <v>8</v>
      </c>
      <c r="D401" s="6">
        <v>2021</v>
      </c>
      <c r="E401" t="s">
        <v>78</v>
      </c>
      <c r="F401" s="9" t="s">
        <v>27</v>
      </c>
      <c r="G401" s="30" t="s">
        <v>297</v>
      </c>
      <c r="H401" s="14">
        <f t="shared" si="17"/>
        <v>45.75</v>
      </c>
      <c r="I401" s="14">
        <f t="shared" si="18"/>
        <v>45.75</v>
      </c>
      <c r="J401" s="14"/>
      <c r="K401" s="14" t="s">
        <v>474</v>
      </c>
    </row>
    <row r="402" spans="2:11" ht="13.2">
      <c r="B402" t="s">
        <v>458</v>
      </c>
      <c r="C402" t="s">
        <v>8</v>
      </c>
      <c r="D402" s="6">
        <v>2022</v>
      </c>
      <c r="E402" t="s">
        <v>78</v>
      </c>
      <c r="F402" s="9" t="s">
        <v>27</v>
      </c>
      <c r="G402" s="30" t="s">
        <v>297</v>
      </c>
      <c r="H402" s="14">
        <f t="shared" si="17"/>
        <v>45.75</v>
      </c>
      <c r="I402" s="14">
        <f t="shared" si="18"/>
        <v>45.75</v>
      </c>
      <c r="J402" s="14"/>
      <c r="K402" s="14" t="s">
        <v>474</v>
      </c>
    </row>
    <row r="403" spans="2:11" ht="13.2">
      <c r="B403" t="s">
        <v>458</v>
      </c>
      <c r="C403" t="s">
        <v>8</v>
      </c>
      <c r="D403" s="6">
        <v>2023</v>
      </c>
      <c r="E403" t="s">
        <v>78</v>
      </c>
      <c r="F403" s="9" t="s">
        <v>27</v>
      </c>
      <c r="G403" s="30" t="s">
        <v>297</v>
      </c>
      <c r="H403" s="14">
        <f t="shared" si="17"/>
        <v>45.75</v>
      </c>
      <c r="I403" s="14">
        <f t="shared" si="18"/>
        <v>45.75</v>
      </c>
      <c r="J403" s="14"/>
      <c r="K403" s="14" t="s">
        <v>474</v>
      </c>
    </row>
    <row r="404" spans="2:11" ht="13.2">
      <c r="B404" t="s">
        <v>458</v>
      </c>
      <c r="C404" t="s">
        <v>8</v>
      </c>
      <c r="D404" s="6">
        <v>2024</v>
      </c>
      <c r="E404" t="s">
        <v>78</v>
      </c>
      <c r="F404" s="9" t="s">
        <v>27</v>
      </c>
      <c r="G404" s="30" t="s">
        <v>297</v>
      </c>
      <c r="H404" s="14">
        <f t="shared" si="17"/>
        <v>45.75</v>
      </c>
      <c r="I404" s="14">
        <f t="shared" si="18"/>
        <v>45.75</v>
      </c>
      <c r="J404" s="14"/>
      <c r="K404" s="14" t="s">
        <v>474</v>
      </c>
    </row>
    <row r="405" spans="2:11" ht="13.2">
      <c r="B405" t="s">
        <v>458</v>
      </c>
      <c r="C405" t="s">
        <v>8</v>
      </c>
      <c r="D405" s="6">
        <v>2025</v>
      </c>
      <c r="E405" t="s">
        <v>78</v>
      </c>
      <c r="F405" s="9" t="s">
        <v>27</v>
      </c>
      <c r="G405" s="30" t="s">
        <v>297</v>
      </c>
      <c r="H405" s="14">
        <f t="shared" si="17"/>
        <v>45.75</v>
      </c>
      <c r="I405" s="14">
        <f t="shared" si="18"/>
        <v>45.75</v>
      </c>
      <c r="J405" s="14"/>
      <c r="K405" s="14" t="s">
        <v>474</v>
      </c>
    </row>
    <row r="406" spans="2:11" ht="13.2">
      <c r="B406" t="s">
        <v>458</v>
      </c>
      <c r="C406" t="s">
        <v>8</v>
      </c>
      <c r="D406" s="6">
        <v>2026</v>
      </c>
      <c r="E406" t="s">
        <v>78</v>
      </c>
      <c r="F406" s="9" t="s">
        <v>27</v>
      </c>
      <c r="G406" s="30" t="s">
        <v>297</v>
      </c>
      <c r="H406" s="14">
        <f t="shared" si="17"/>
        <v>45.75</v>
      </c>
      <c r="I406" s="14">
        <f t="shared" si="18"/>
        <v>45.75</v>
      </c>
      <c r="J406" s="14"/>
      <c r="K406" s="14" t="s">
        <v>474</v>
      </c>
    </row>
    <row r="407" spans="2:11" ht="13.2">
      <c r="B407" t="s">
        <v>458</v>
      </c>
      <c r="C407" t="s">
        <v>8</v>
      </c>
      <c r="D407" s="6">
        <v>2027</v>
      </c>
      <c r="E407" t="s">
        <v>78</v>
      </c>
      <c r="F407" s="9" t="s">
        <v>27</v>
      </c>
      <c r="G407" s="30" t="s">
        <v>297</v>
      </c>
      <c r="H407" s="14">
        <f t="shared" si="17"/>
        <v>45.75</v>
      </c>
      <c r="I407" s="14">
        <f t="shared" si="18"/>
        <v>45.75</v>
      </c>
      <c r="J407" s="14"/>
      <c r="K407" s="14" t="s">
        <v>474</v>
      </c>
    </row>
    <row r="408" spans="2:11" ht="13.2">
      <c r="B408" t="s">
        <v>458</v>
      </c>
      <c r="C408" t="s">
        <v>8</v>
      </c>
      <c r="D408" s="6">
        <v>2028</v>
      </c>
      <c r="E408" t="s">
        <v>78</v>
      </c>
      <c r="F408" s="9" t="s">
        <v>27</v>
      </c>
      <c r="G408" s="30" t="s">
        <v>297</v>
      </c>
      <c r="H408" s="14">
        <f t="shared" si="17"/>
        <v>45.75</v>
      </c>
      <c r="I408" s="14">
        <f t="shared" si="18"/>
        <v>45.75</v>
      </c>
      <c r="J408" s="14"/>
      <c r="K408" s="14" t="s">
        <v>474</v>
      </c>
    </row>
    <row r="409" spans="2:11" ht="13.2">
      <c r="B409" t="s">
        <v>458</v>
      </c>
      <c r="C409" t="s">
        <v>8</v>
      </c>
      <c r="D409" s="6">
        <v>2029</v>
      </c>
      <c r="E409" t="s">
        <v>78</v>
      </c>
      <c r="F409" s="9" t="s">
        <v>27</v>
      </c>
      <c r="G409" s="30" t="s">
        <v>297</v>
      </c>
      <c r="H409" s="14">
        <f t="shared" si="17"/>
        <v>45.75</v>
      </c>
      <c r="I409" s="14">
        <f t="shared" si="18"/>
        <v>45.75</v>
      </c>
      <c r="J409" s="14"/>
      <c r="K409" s="14" t="s">
        <v>474</v>
      </c>
    </row>
    <row r="410" spans="2:11" ht="13.2">
      <c r="B410" t="s">
        <v>458</v>
      </c>
      <c r="C410" t="s">
        <v>8</v>
      </c>
      <c r="D410" s="6">
        <v>2030</v>
      </c>
      <c r="E410" t="s">
        <v>78</v>
      </c>
      <c r="F410" s="9" t="s">
        <v>27</v>
      </c>
      <c r="G410" s="30" t="s">
        <v>297</v>
      </c>
      <c r="H410" s="14">
        <f t="shared" si="17"/>
        <v>45.75</v>
      </c>
      <c r="I410" s="14">
        <f t="shared" si="18"/>
        <v>45.75</v>
      </c>
      <c r="J410" s="14"/>
      <c r="K410" s="14" t="s">
        <v>474</v>
      </c>
    </row>
    <row r="411" spans="2:11" ht="13.2">
      <c r="B411" t="s">
        <v>458</v>
      </c>
      <c r="C411" t="s">
        <v>8</v>
      </c>
      <c r="D411" s="6">
        <v>2031</v>
      </c>
      <c r="E411" t="s">
        <v>78</v>
      </c>
      <c r="F411" s="9" t="s">
        <v>27</v>
      </c>
      <c r="G411" s="30" t="s">
        <v>297</v>
      </c>
      <c r="H411" s="14">
        <f t="shared" si="17"/>
        <v>45.75</v>
      </c>
      <c r="I411" s="14">
        <f t="shared" si="18"/>
        <v>45.75</v>
      </c>
      <c r="J411" s="14"/>
      <c r="K411" s="14" t="s">
        <v>474</v>
      </c>
    </row>
    <row r="412" spans="2:11" ht="13.2">
      <c r="B412" t="s">
        <v>458</v>
      </c>
      <c r="C412" t="s">
        <v>8</v>
      </c>
      <c r="D412" s="6">
        <v>2032</v>
      </c>
      <c r="E412" t="s">
        <v>78</v>
      </c>
      <c r="F412" s="9" t="s">
        <v>27</v>
      </c>
      <c r="G412" s="30" t="s">
        <v>297</v>
      </c>
      <c r="H412" s="14">
        <f t="shared" si="17"/>
        <v>45.75</v>
      </c>
      <c r="I412" s="14">
        <f t="shared" si="18"/>
        <v>45.75</v>
      </c>
      <c r="J412" s="14"/>
      <c r="K412" s="14" t="s">
        <v>474</v>
      </c>
    </row>
    <row r="413" spans="2:11" ht="13.2">
      <c r="B413" t="s">
        <v>458</v>
      </c>
      <c r="C413" t="s">
        <v>8</v>
      </c>
      <c r="D413" s="6">
        <v>2033</v>
      </c>
      <c r="E413" t="s">
        <v>78</v>
      </c>
      <c r="F413" s="9" t="s">
        <v>27</v>
      </c>
      <c r="G413" s="30" t="s">
        <v>297</v>
      </c>
      <c r="H413" s="14">
        <f t="shared" si="17"/>
        <v>45.75</v>
      </c>
      <c r="I413" s="14">
        <f t="shared" si="18"/>
        <v>45.75</v>
      </c>
      <c r="J413" s="14"/>
      <c r="K413" s="14" t="s">
        <v>474</v>
      </c>
    </row>
    <row r="414" spans="2:11" ht="13.2">
      <c r="B414" t="s">
        <v>458</v>
      </c>
      <c r="C414" t="s">
        <v>8</v>
      </c>
      <c r="D414" s="6">
        <v>2034</v>
      </c>
      <c r="E414" t="s">
        <v>78</v>
      </c>
      <c r="F414" s="9" t="s">
        <v>27</v>
      </c>
      <c r="G414" s="30" t="s">
        <v>297</v>
      </c>
      <c r="H414" s="14">
        <f t="shared" si="17"/>
        <v>45.75</v>
      </c>
      <c r="I414" s="14">
        <f t="shared" si="18"/>
        <v>45.75</v>
      </c>
      <c r="J414" s="14"/>
      <c r="K414" s="14" t="s">
        <v>474</v>
      </c>
    </row>
    <row r="415" spans="2:11" ht="13.2">
      <c r="B415" t="s">
        <v>458</v>
      </c>
      <c r="C415" t="s">
        <v>8</v>
      </c>
      <c r="D415" s="6">
        <v>2035</v>
      </c>
      <c r="E415" t="s">
        <v>78</v>
      </c>
      <c r="F415" s="9" t="s">
        <v>27</v>
      </c>
      <c r="G415" s="30" t="s">
        <v>297</v>
      </c>
      <c r="H415" s="14">
        <f t="shared" si="17"/>
        <v>45.75</v>
      </c>
      <c r="I415" s="14">
        <f t="shared" si="18"/>
        <v>45.75</v>
      </c>
      <c r="J415" s="14"/>
      <c r="K415" s="14" t="s">
        <v>474</v>
      </c>
    </row>
    <row r="416" spans="2:11" ht="13.2">
      <c r="B416" t="s">
        <v>458</v>
      </c>
      <c r="C416" t="s">
        <v>8</v>
      </c>
      <c r="D416" s="6">
        <v>2036</v>
      </c>
      <c r="E416" t="s">
        <v>78</v>
      </c>
      <c r="F416" s="9" t="s">
        <v>27</v>
      </c>
      <c r="G416" s="30" t="s">
        <v>297</v>
      </c>
      <c r="H416" s="14">
        <f t="shared" si="17"/>
        <v>45.75</v>
      </c>
      <c r="I416" s="14">
        <f t="shared" si="18"/>
        <v>45.75</v>
      </c>
      <c r="J416" s="14"/>
      <c r="K416" s="14" t="s">
        <v>474</v>
      </c>
    </row>
    <row r="417" spans="2:11" ht="13.2">
      <c r="B417" t="s">
        <v>458</v>
      </c>
      <c r="C417" t="s">
        <v>8</v>
      </c>
      <c r="D417" s="6">
        <v>2037</v>
      </c>
      <c r="E417" t="s">
        <v>78</v>
      </c>
      <c r="F417" s="9" t="s">
        <v>27</v>
      </c>
      <c r="G417" s="30" t="s">
        <v>297</v>
      </c>
      <c r="H417" s="14">
        <f t="shared" si="17"/>
        <v>45.75</v>
      </c>
      <c r="I417" s="14">
        <f t="shared" si="18"/>
        <v>45.75</v>
      </c>
      <c r="J417" s="14"/>
      <c r="K417" s="14" t="s">
        <v>474</v>
      </c>
    </row>
    <row r="418" spans="2:11" ht="13.2">
      <c r="B418" t="s">
        <v>458</v>
      </c>
      <c r="C418" t="s">
        <v>8</v>
      </c>
      <c r="D418" s="6">
        <v>2038</v>
      </c>
      <c r="E418" t="s">
        <v>78</v>
      </c>
      <c r="F418" s="9" t="s">
        <v>27</v>
      </c>
      <c r="G418" s="30" t="s">
        <v>297</v>
      </c>
      <c r="H418" s="14">
        <f t="shared" ref="H418:H430" si="19">HLOOKUP(K418,FuelTax2,D418-2006,FALSE)*$C$10</f>
        <v>45.75</v>
      </c>
      <c r="I418" s="14">
        <f t="shared" si="18"/>
        <v>45.75</v>
      </c>
      <c r="J418" s="14"/>
      <c r="K418" s="14" t="s">
        <v>474</v>
      </c>
    </row>
    <row r="419" spans="2:11" ht="13.2">
      <c r="B419" t="s">
        <v>458</v>
      </c>
      <c r="C419" t="s">
        <v>8</v>
      </c>
      <c r="D419" s="6">
        <v>2039</v>
      </c>
      <c r="E419" t="s">
        <v>78</v>
      </c>
      <c r="F419" s="9" t="s">
        <v>27</v>
      </c>
      <c r="G419" s="30" t="s">
        <v>297</v>
      </c>
      <c r="H419" s="14">
        <f t="shared" si="19"/>
        <v>45.75</v>
      </c>
      <c r="I419" s="14">
        <f t="shared" si="18"/>
        <v>45.75</v>
      </c>
      <c r="J419" s="14"/>
      <c r="K419" s="14" t="s">
        <v>474</v>
      </c>
    </row>
    <row r="420" spans="2:11" ht="13.2">
      <c r="B420" t="s">
        <v>458</v>
      </c>
      <c r="C420" t="s">
        <v>8</v>
      </c>
      <c r="D420" s="6">
        <v>2040</v>
      </c>
      <c r="E420" t="s">
        <v>78</v>
      </c>
      <c r="F420" s="9" t="s">
        <v>27</v>
      </c>
      <c r="G420" s="30" t="s">
        <v>297</v>
      </c>
      <c r="H420" s="14">
        <f t="shared" si="19"/>
        <v>45.75</v>
      </c>
      <c r="I420" s="14">
        <f t="shared" si="18"/>
        <v>45.75</v>
      </c>
      <c r="J420" s="14"/>
      <c r="K420" s="14" t="s">
        <v>474</v>
      </c>
    </row>
    <row r="421" spans="2:11" ht="13.2">
      <c r="B421" t="s">
        <v>458</v>
      </c>
      <c r="C421" t="s">
        <v>8</v>
      </c>
      <c r="D421" s="6">
        <v>2041</v>
      </c>
      <c r="E421" t="s">
        <v>78</v>
      </c>
      <c r="F421" s="9" t="s">
        <v>27</v>
      </c>
      <c r="G421" s="30" t="s">
        <v>297</v>
      </c>
      <c r="H421" s="14">
        <f t="shared" si="19"/>
        <v>45.75</v>
      </c>
      <c r="I421" s="14">
        <f t="shared" si="18"/>
        <v>45.75</v>
      </c>
      <c r="J421" s="14"/>
      <c r="K421" s="14" t="s">
        <v>474</v>
      </c>
    </row>
    <row r="422" spans="2:11" ht="13.2">
      <c r="B422" t="s">
        <v>458</v>
      </c>
      <c r="C422" t="s">
        <v>8</v>
      </c>
      <c r="D422" s="6">
        <v>2042</v>
      </c>
      <c r="E422" t="s">
        <v>78</v>
      </c>
      <c r="F422" s="9" t="s">
        <v>27</v>
      </c>
      <c r="G422" s="30" t="s">
        <v>297</v>
      </c>
      <c r="H422" s="14">
        <f t="shared" si="19"/>
        <v>45.75</v>
      </c>
      <c r="I422" s="14">
        <f t="shared" si="18"/>
        <v>45.75</v>
      </c>
      <c r="J422" s="14"/>
      <c r="K422" s="14" t="s">
        <v>474</v>
      </c>
    </row>
    <row r="423" spans="2:11" ht="13.2">
      <c r="B423" t="s">
        <v>458</v>
      </c>
      <c r="C423" t="s">
        <v>8</v>
      </c>
      <c r="D423" s="6">
        <v>2043</v>
      </c>
      <c r="E423" t="s">
        <v>78</v>
      </c>
      <c r="F423" s="9" t="s">
        <v>27</v>
      </c>
      <c r="G423" s="30" t="s">
        <v>297</v>
      </c>
      <c r="H423" s="14">
        <f t="shared" si="19"/>
        <v>45.75</v>
      </c>
      <c r="I423" s="14">
        <f t="shared" si="18"/>
        <v>45.75</v>
      </c>
      <c r="J423" s="14"/>
      <c r="K423" s="14" t="s">
        <v>474</v>
      </c>
    </row>
    <row r="424" spans="2:11" ht="13.2">
      <c r="B424" t="s">
        <v>458</v>
      </c>
      <c r="C424" t="s">
        <v>8</v>
      </c>
      <c r="D424" s="6">
        <v>2044</v>
      </c>
      <c r="E424" t="s">
        <v>78</v>
      </c>
      <c r="F424" s="9" t="s">
        <v>27</v>
      </c>
      <c r="G424" s="30" t="s">
        <v>297</v>
      </c>
      <c r="H424" s="14">
        <f t="shared" si="19"/>
        <v>45.75</v>
      </c>
      <c r="I424" s="14">
        <f t="shared" si="18"/>
        <v>45.75</v>
      </c>
      <c r="J424" s="14"/>
      <c r="K424" s="14" t="s">
        <v>474</v>
      </c>
    </row>
    <row r="425" spans="2:11" ht="13.2">
      <c r="B425" t="s">
        <v>458</v>
      </c>
      <c r="C425" t="s">
        <v>8</v>
      </c>
      <c r="D425" s="6">
        <v>2045</v>
      </c>
      <c r="E425" t="s">
        <v>78</v>
      </c>
      <c r="F425" s="9" t="s">
        <v>27</v>
      </c>
      <c r="G425" s="30" t="s">
        <v>297</v>
      </c>
      <c r="H425" s="14">
        <f t="shared" si="19"/>
        <v>45.75</v>
      </c>
      <c r="I425" s="14">
        <f t="shared" si="18"/>
        <v>45.75</v>
      </c>
      <c r="J425" s="14"/>
      <c r="K425" s="14" t="s">
        <v>474</v>
      </c>
    </row>
    <row r="426" spans="2:11" ht="13.2">
      <c r="B426" t="s">
        <v>458</v>
      </c>
      <c r="C426" t="s">
        <v>8</v>
      </c>
      <c r="D426" s="6">
        <v>2046</v>
      </c>
      <c r="E426" t="s">
        <v>78</v>
      </c>
      <c r="F426" s="9" t="s">
        <v>27</v>
      </c>
      <c r="G426" s="30" t="s">
        <v>297</v>
      </c>
      <c r="H426" s="14">
        <f t="shared" si="19"/>
        <v>45.75</v>
      </c>
      <c r="I426" s="14">
        <f t="shared" si="18"/>
        <v>45.75</v>
      </c>
      <c r="J426" s="14"/>
      <c r="K426" s="14" t="s">
        <v>474</v>
      </c>
    </row>
    <row r="427" spans="2:11" ht="13.2">
      <c r="B427" t="s">
        <v>458</v>
      </c>
      <c r="C427" t="s">
        <v>8</v>
      </c>
      <c r="D427" s="6">
        <v>2047</v>
      </c>
      <c r="E427" t="s">
        <v>78</v>
      </c>
      <c r="F427" s="9" t="s">
        <v>27</v>
      </c>
      <c r="G427" s="30" t="s">
        <v>297</v>
      </c>
      <c r="H427" s="14">
        <f t="shared" si="19"/>
        <v>45.75</v>
      </c>
      <c r="I427" s="14">
        <f t="shared" si="18"/>
        <v>45.75</v>
      </c>
      <c r="J427" s="14"/>
      <c r="K427" s="14" t="s">
        <v>474</v>
      </c>
    </row>
    <row r="428" spans="2:11" ht="13.2">
      <c r="B428" t="s">
        <v>458</v>
      </c>
      <c r="C428" t="s">
        <v>8</v>
      </c>
      <c r="D428" s="6">
        <v>2048</v>
      </c>
      <c r="E428" t="s">
        <v>78</v>
      </c>
      <c r="F428" s="9" t="s">
        <v>27</v>
      </c>
      <c r="G428" s="30" t="s">
        <v>297</v>
      </c>
      <c r="H428" s="14">
        <f t="shared" si="19"/>
        <v>45.75</v>
      </c>
      <c r="I428" s="14">
        <f t="shared" si="18"/>
        <v>45.75</v>
      </c>
      <c r="J428" s="14"/>
      <c r="K428" s="14" t="s">
        <v>474</v>
      </c>
    </row>
    <row r="429" spans="2:11" ht="13.2">
      <c r="B429" t="s">
        <v>458</v>
      </c>
      <c r="C429" t="s">
        <v>8</v>
      </c>
      <c r="D429" s="6">
        <v>2049</v>
      </c>
      <c r="E429" t="s">
        <v>78</v>
      </c>
      <c r="F429" s="9" t="s">
        <v>27</v>
      </c>
      <c r="G429" s="30" t="s">
        <v>297</v>
      </c>
      <c r="H429" s="14">
        <f t="shared" si="19"/>
        <v>45.75</v>
      </c>
      <c r="I429" s="14">
        <f t="shared" si="18"/>
        <v>45.75</v>
      </c>
      <c r="J429" s="14"/>
      <c r="K429" s="14" t="s">
        <v>474</v>
      </c>
    </row>
    <row r="430" spans="2:11" ht="13.2">
      <c r="B430" s="7" t="s">
        <v>458</v>
      </c>
      <c r="C430" s="7" t="s">
        <v>8</v>
      </c>
      <c r="D430" s="8">
        <v>2050</v>
      </c>
      <c r="E430" s="7" t="s">
        <v>78</v>
      </c>
      <c r="F430" s="7" t="s">
        <v>27</v>
      </c>
      <c r="G430" s="35" t="s">
        <v>297</v>
      </c>
      <c r="H430" s="14">
        <f t="shared" si="19"/>
        <v>45.75</v>
      </c>
      <c r="I430" s="14">
        <f t="shared" si="18"/>
        <v>45.75</v>
      </c>
      <c r="J430" s="21"/>
      <c r="K430" s="14" t="s">
        <v>474</v>
      </c>
    </row>
    <row r="431" spans="2:11" ht="13.2">
      <c r="B431" t="s">
        <v>458</v>
      </c>
      <c r="C431" t="s">
        <v>8</v>
      </c>
      <c r="D431" s="6">
        <v>2010</v>
      </c>
      <c r="E431" t="s">
        <v>467</v>
      </c>
      <c r="F431" s="9" t="s">
        <v>27</v>
      </c>
      <c r="G431" s="30" t="s">
        <v>297</v>
      </c>
      <c r="H431" s="14">
        <f>HLOOKUP(K431,FuelTax2,D431-2006,FALSE)*$C$10</f>
        <v>0</v>
      </c>
      <c r="I431" s="14">
        <f t="shared" ref="I431:I494" si="20">H431</f>
        <v>0</v>
      </c>
      <c r="J431" s="14"/>
      <c r="K431" s="14" t="s">
        <v>132</v>
      </c>
    </row>
    <row r="432" spans="2:11" ht="13.2">
      <c r="B432" t="s">
        <v>458</v>
      </c>
      <c r="C432" t="s">
        <v>8</v>
      </c>
      <c r="D432" s="6">
        <v>2011</v>
      </c>
      <c r="E432" t="s">
        <v>467</v>
      </c>
      <c r="F432" s="9" t="s">
        <v>27</v>
      </c>
      <c r="G432" s="30" t="s">
        <v>297</v>
      </c>
      <c r="H432" s="14">
        <f t="shared" si="17"/>
        <v>0</v>
      </c>
      <c r="I432" s="14">
        <f t="shared" si="20"/>
        <v>0</v>
      </c>
      <c r="J432" s="14"/>
      <c r="K432" s="14" t="s">
        <v>132</v>
      </c>
    </row>
    <row r="433" spans="2:11" ht="13.2">
      <c r="B433" t="s">
        <v>458</v>
      </c>
      <c r="C433" t="s">
        <v>8</v>
      </c>
      <c r="D433" s="6">
        <v>2012</v>
      </c>
      <c r="E433" t="s">
        <v>467</v>
      </c>
      <c r="F433" s="9" t="s">
        <v>27</v>
      </c>
      <c r="G433" s="30" t="s">
        <v>297</v>
      </c>
      <c r="H433" s="14">
        <f t="shared" si="17"/>
        <v>0</v>
      </c>
      <c r="I433" s="14">
        <f t="shared" si="20"/>
        <v>0</v>
      </c>
      <c r="J433" s="14"/>
      <c r="K433" s="14" t="s">
        <v>132</v>
      </c>
    </row>
    <row r="434" spans="2:11" ht="13.2">
      <c r="B434" t="s">
        <v>458</v>
      </c>
      <c r="C434" t="s">
        <v>8</v>
      </c>
      <c r="D434" s="6">
        <v>2013</v>
      </c>
      <c r="E434" t="s">
        <v>467</v>
      </c>
      <c r="F434" s="9" t="s">
        <v>27</v>
      </c>
      <c r="G434" s="30" t="s">
        <v>297</v>
      </c>
      <c r="H434" s="14">
        <f t="shared" si="17"/>
        <v>0</v>
      </c>
      <c r="I434" s="14">
        <f t="shared" si="20"/>
        <v>0</v>
      </c>
      <c r="J434" s="14"/>
      <c r="K434" s="14" t="s">
        <v>132</v>
      </c>
    </row>
    <row r="435" spans="2:11" ht="13.2">
      <c r="B435" t="s">
        <v>458</v>
      </c>
      <c r="C435" t="s">
        <v>8</v>
      </c>
      <c r="D435" s="6">
        <v>2014</v>
      </c>
      <c r="E435" t="s">
        <v>467</v>
      </c>
      <c r="F435" s="9" t="s">
        <v>27</v>
      </c>
      <c r="G435" s="30" t="s">
        <v>297</v>
      </c>
      <c r="H435" s="14">
        <f t="shared" si="17"/>
        <v>0</v>
      </c>
      <c r="I435" s="14">
        <f t="shared" si="20"/>
        <v>0</v>
      </c>
      <c r="J435" s="14"/>
      <c r="K435" s="14" t="s">
        <v>132</v>
      </c>
    </row>
    <row r="436" spans="2:11" ht="13.2">
      <c r="B436" t="s">
        <v>458</v>
      </c>
      <c r="C436" t="s">
        <v>8</v>
      </c>
      <c r="D436" s="6">
        <v>2015</v>
      </c>
      <c r="E436" t="s">
        <v>467</v>
      </c>
      <c r="F436" s="9" t="s">
        <v>27</v>
      </c>
      <c r="G436" s="30" t="s">
        <v>297</v>
      </c>
      <c r="H436" s="14">
        <f t="shared" si="17"/>
        <v>0</v>
      </c>
      <c r="I436" s="14">
        <f t="shared" si="20"/>
        <v>0</v>
      </c>
      <c r="J436" s="14"/>
      <c r="K436" s="14" t="s">
        <v>132</v>
      </c>
    </row>
    <row r="437" spans="2:11" ht="13.2">
      <c r="B437" t="s">
        <v>458</v>
      </c>
      <c r="C437" t="s">
        <v>8</v>
      </c>
      <c r="D437" s="6">
        <v>2016</v>
      </c>
      <c r="E437" t="s">
        <v>467</v>
      </c>
      <c r="F437" s="9" t="s">
        <v>27</v>
      </c>
      <c r="G437" s="30" t="s">
        <v>297</v>
      </c>
      <c r="H437" s="14">
        <f t="shared" si="17"/>
        <v>0</v>
      </c>
      <c r="I437" s="14">
        <f t="shared" si="20"/>
        <v>0</v>
      </c>
      <c r="J437" s="14"/>
      <c r="K437" s="14" t="s">
        <v>132</v>
      </c>
    </row>
    <row r="438" spans="2:11" ht="13.2">
      <c r="B438" t="s">
        <v>458</v>
      </c>
      <c r="C438" t="s">
        <v>8</v>
      </c>
      <c r="D438" s="6">
        <v>2017</v>
      </c>
      <c r="E438" t="s">
        <v>467</v>
      </c>
      <c r="F438" s="9" t="s">
        <v>27</v>
      </c>
      <c r="G438" s="30" t="s">
        <v>297</v>
      </c>
      <c r="H438" s="14">
        <f t="shared" si="17"/>
        <v>0</v>
      </c>
      <c r="I438" s="14">
        <f t="shared" si="20"/>
        <v>0</v>
      </c>
      <c r="J438" s="14"/>
      <c r="K438" s="14" t="s">
        <v>132</v>
      </c>
    </row>
    <row r="439" spans="2:11" ht="13.2">
      <c r="B439" t="s">
        <v>458</v>
      </c>
      <c r="C439" t="s">
        <v>8</v>
      </c>
      <c r="D439" s="6">
        <v>2018</v>
      </c>
      <c r="E439" t="s">
        <v>467</v>
      </c>
      <c r="F439" s="9" t="s">
        <v>27</v>
      </c>
      <c r="G439" s="30" t="s">
        <v>297</v>
      </c>
      <c r="H439" s="14">
        <f t="shared" si="17"/>
        <v>0</v>
      </c>
      <c r="I439" s="14">
        <f t="shared" si="20"/>
        <v>0</v>
      </c>
      <c r="J439" s="14"/>
      <c r="K439" s="14" t="s">
        <v>132</v>
      </c>
    </row>
    <row r="440" spans="2:11" ht="13.2">
      <c r="B440" t="s">
        <v>458</v>
      </c>
      <c r="C440" t="s">
        <v>8</v>
      </c>
      <c r="D440" s="6">
        <v>2019</v>
      </c>
      <c r="E440" t="s">
        <v>467</v>
      </c>
      <c r="F440" s="9" t="s">
        <v>27</v>
      </c>
      <c r="G440" s="30" t="s">
        <v>297</v>
      </c>
      <c r="H440" s="14">
        <f t="shared" si="17"/>
        <v>0</v>
      </c>
      <c r="I440" s="14">
        <f t="shared" si="20"/>
        <v>0</v>
      </c>
      <c r="J440" s="14"/>
      <c r="K440" s="14" t="s">
        <v>132</v>
      </c>
    </row>
    <row r="441" spans="2:11" ht="13.2">
      <c r="B441" t="s">
        <v>458</v>
      </c>
      <c r="C441" t="s">
        <v>8</v>
      </c>
      <c r="D441" s="6">
        <v>2020</v>
      </c>
      <c r="E441" t="s">
        <v>467</v>
      </c>
      <c r="F441" s="9" t="s">
        <v>27</v>
      </c>
      <c r="G441" s="30" t="s">
        <v>297</v>
      </c>
      <c r="H441" s="14">
        <f t="shared" si="17"/>
        <v>0</v>
      </c>
      <c r="I441" s="14">
        <f t="shared" si="20"/>
        <v>0</v>
      </c>
      <c r="J441" s="14"/>
      <c r="K441" s="14" t="s">
        <v>132</v>
      </c>
    </row>
    <row r="442" spans="2:11" ht="13.2">
      <c r="B442" t="s">
        <v>458</v>
      </c>
      <c r="C442" t="s">
        <v>8</v>
      </c>
      <c r="D442" s="6">
        <v>2021</v>
      </c>
      <c r="E442" t="s">
        <v>467</v>
      </c>
      <c r="F442" s="9" t="s">
        <v>27</v>
      </c>
      <c r="G442" s="30" t="s">
        <v>297</v>
      </c>
      <c r="H442" s="14">
        <f t="shared" si="17"/>
        <v>0</v>
      </c>
      <c r="I442" s="14">
        <f t="shared" si="20"/>
        <v>0</v>
      </c>
      <c r="J442" s="14"/>
      <c r="K442" s="14" t="s">
        <v>132</v>
      </c>
    </row>
    <row r="443" spans="2:11" ht="13.2">
      <c r="B443" t="s">
        <v>458</v>
      </c>
      <c r="C443" t="s">
        <v>8</v>
      </c>
      <c r="D443" s="6">
        <v>2022</v>
      </c>
      <c r="E443" t="s">
        <v>467</v>
      </c>
      <c r="F443" s="9" t="s">
        <v>27</v>
      </c>
      <c r="G443" s="30" t="s">
        <v>297</v>
      </c>
      <c r="H443" s="14">
        <f t="shared" si="17"/>
        <v>0</v>
      </c>
      <c r="I443" s="14">
        <f t="shared" si="20"/>
        <v>0</v>
      </c>
      <c r="J443" s="14"/>
      <c r="K443" s="14" t="s">
        <v>132</v>
      </c>
    </row>
    <row r="444" spans="2:11" ht="13.2">
      <c r="B444" t="s">
        <v>458</v>
      </c>
      <c r="C444" t="s">
        <v>8</v>
      </c>
      <c r="D444" s="6">
        <v>2023</v>
      </c>
      <c r="E444" t="s">
        <v>467</v>
      </c>
      <c r="F444" s="9" t="s">
        <v>27</v>
      </c>
      <c r="G444" s="30" t="s">
        <v>297</v>
      </c>
      <c r="H444" s="14">
        <f t="shared" si="17"/>
        <v>0</v>
      </c>
      <c r="I444" s="14">
        <f t="shared" si="20"/>
        <v>0</v>
      </c>
      <c r="J444" s="14"/>
      <c r="K444" s="14" t="s">
        <v>132</v>
      </c>
    </row>
    <row r="445" spans="2:11" ht="13.2">
      <c r="B445" t="s">
        <v>458</v>
      </c>
      <c r="C445" t="s">
        <v>8</v>
      </c>
      <c r="D445" s="6">
        <v>2024</v>
      </c>
      <c r="E445" t="s">
        <v>467</v>
      </c>
      <c r="F445" s="9" t="s">
        <v>27</v>
      </c>
      <c r="G445" s="30" t="s">
        <v>297</v>
      </c>
      <c r="H445" s="14">
        <f t="shared" si="17"/>
        <v>0</v>
      </c>
      <c r="I445" s="14">
        <f t="shared" si="20"/>
        <v>0</v>
      </c>
      <c r="J445" s="14"/>
      <c r="K445" s="14" t="s">
        <v>132</v>
      </c>
    </row>
    <row r="446" spans="2:11" ht="13.2">
      <c r="B446" t="s">
        <v>458</v>
      </c>
      <c r="C446" t="s">
        <v>8</v>
      </c>
      <c r="D446" s="6">
        <v>2025</v>
      </c>
      <c r="E446" t="s">
        <v>467</v>
      </c>
      <c r="F446" s="9" t="s">
        <v>27</v>
      </c>
      <c r="G446" s="30" t="s">
        <v>297</v>
      </c>
      <c r="H446" s="14">
        <f t="shared" si="17"/>
        <v>0</v>
      </c>
      <c r="I446" s="14">
        <f t="shared" si="20"/>
        <v>0</v>
      </c>
      <c r="J446" s="14"/>
      <c r="K446" s="14" t="s">
        <v>132</v>
      </c>
    </row>
    <row r="447" spans="2:11" ht="13.2">
      <c r="B447" t="s">
        <v>458</v>
      </c>
      <c r="C447" t="s">
        <v>8</v>
      </c>
      <c r="D447" s="6">
        <v>2026</v>
      </c>
      <c r="E447" t="s">
        <v>467</v>
      </c>
      <c r="F447" s="9" t="s">
        <v>27</v>
      </c>
      <c r="G447" s="30" t="s">
        <v>297</v>
      </c>
      <c r="H447" s="14">
        <f t="shared" si="17"/>
        <v>0</v>
      </c>
      <c r="I447" s="14">
        <f t="shared" si="20"/>
        <v>0</v>
      </c>
      <c r="J447" s="14"/>
      <c r="K447" s="14" t="s">
        <v>132</v>
      </c>
    </row>
    <row r="448" spans="2:11" ht="13.2">
      <c r="B448" t="s">
        <v>458</v>
      </c>
      <c r="C448" t="s">
        <v>8</v>
      </c>
      <c r="D448" s="6">
        <v>2027</v>
      </c>
      <c r="E448" t="s">
        <v>467</v>
      </c>
      <c r="F448" s="9" t="s">
        <v>27</v>
      </c>
      <c r="G448" s="30" t="s">
        <v>297</v>
      </c>
      <c r="H448" s="14">
        <f t="shared" si="17"/>
        <v>0</v>
      </c>
      <c r="I448" s="14">
        <f t="shared" si="20"/>
        <v>0</v>
      </c>
      <c r="J448" s="14"/>
      <c r="K448" s="14" t="s">
        <v>132</v>
      </c>
    </row>
    <row r="449" spans="2:11" ht="13.2">
      <c r="B449" t="s">
        <v>458</v>
      </c>
      <c r="C449" t="s">
        <v>8</v>
      </c>
      <c r="D449" s="6">
        <v>2028</v>
      </c>
      <c r="E449" t="s">
        <v>467</v>
      </c>
      <c r="F449" s="9" t="s">
        <v>27</v>
      </c>
      <c r="G449" s="30" t="s">
        <v>297</v>
      </c>
      <c r="H449" s="14">
        <f t="shared" si="17"/>
        <v>0</v>
      </c>
      <c r="I449" s="14">
        <f t="shared" si="20"/>
        <v>0</v>
      </c>
      <c r="J449" s="14"/>
      <c r="K449" s="14" t="s">
        <v>132</v>
      </c>
    </row>
    <row r="450" spans="2:11" ht="13.2">
      <c r="B450" t="s">
        <v>458</v>
      </c>
      <c r="C450" t="s">
        <v>8</v>
      </c>
      <c r="D450" s="6">
        <v>2029</v>
      </c>
      <c r="E450" t="s">
        <v>467</v>
      </c>
      <c r="F450" s="9" t="s">
        <v>27</v>
      </c>
      <c r="G450" s="30" t="s">
        <v>297</v>
      </c>
      <c r="H450" s="14">
        <f t="shared" si="17"/>
        <v>0</v>
      </c>
      <c r="I450" s="14">
        <f t="shared" si="20"/>
        <v>0</v>
      </c>
      <c r="J450" s="14"/>
      <c r="K450" s="14" t="s">
        <v>132</v>
      </c>
    </row>
    <row r="451" spans="2:11" ht="13.2">
      <c r="B451" t="s">
        <v>458</v>
      </c>
      <c r="C451" t="s">
        <v>8</v>
      </c>
      <c r="D451" s="6">
        <v>2030</v>
      </c>
      <c r="E451" t="s">
        <v>467</v>
      </c>
      <c r="F451" s="9" t="s">
        <v>27</v>
      </c>
      <c r="G451" s="30" t="s">
        <v>297</v>
      </c>
      <c r="H451" s="14">
        <f t="shared" si="17"/>
        <v>0</v>
      </c>
      <c r="I451" s="14">
        <f t="shared" si="20"/>
        <v>0</v>
      </c>
      <c r="J451" s="14"/>
      <c r="K451" s="14" t="s">
        <v>132</v>
      </c>
    </row>
    <row r="452" spans="2:11" ht="13.2">
      <c r="B452" t="s">
        <v>458</v>
      </c>
      <c r="C452" t="s">
        <v>8</v>
      </c>
      <c r="D452" s="6">
        <v>2031</v>
      </c>
      <c r="E452" t="s">
        <v>467</v>
      </c>
      <c r="F452" s="9" t="s">
        <v>27</v>
      </c>
      <c r="G452" s="30" t="s">
        <v>297</v>
      </c>
      <c r="H452" s="14">
        <f t="shared" si="17"/>
        <v>0</v>
      </c>
      <c r="I452" s="14">
        <f t="shared" si="20"/>
        <v>0</v>
      </c>
      <c r="J452" s="14"/>
      <c r="K452" s="14" t="s">
        <v>132</v>
      </c>
    </row>
    <row r="453" spans="2:11" ht="13.2">
      <c r="B453" t="s">
        <v>458</v>
      </c>
      <c r="C453" t="s">
        <v>8</v>
      </c>
      <c r="D453" s="6">
        <v>2032</v>
      </c>
      <c r="E453" t="s">
        <v>467</v>
      </c>
      <c r="F453" s="9" t="s">
        <v>27</v>
      </c>
      <c r="G453" s="30" t="s">
        <v>297</v>
      </c>
      <c r="H453" s="14">
        <f t="shared" si="17"/>
        <v>0</v>
      </c>
      <c r="I453" s="14">
        <f t="shared" si="20"/>
        <v>0</v>
      </c>
      <c r="J453" s="14"/>
      <c r="K453" s="14" t="s">
        <v>132</v>
      </c>
    </row>
    <row r="454" spans="2:11" ht="13.2">
      <c r="B454" t="s">
        <v>458</v>
      </c>
      <c r="C454" t="s">
        <v>8</v>
      </c>
      <c r="D454" s="6">
        <v>2033</v>
      </c>
      <c r="E454" t="s">
        <v>467</v>
      </c>
      <c r="F454" s="9" t="s">
        <v>27</v>
      </c>
      <c r="G454" s="30" t="s">
        <v>297</v>
      </c>
      <c r="H454" s="14">
        <f t="shared" si="17"/>
        <v>0</v>
      </c>
      <c r="I454" s="14">
        <f t="shared" si="20"/>
        <v>0</v>
      </c>
      <c r="J454" s="14"/>
      <c r="K454" s="14" t="s">
        <v>132</v>
      </c>
    </row>
    <row r="455" spans="2:11" ht="13.2">
      <c r="B455" t="s">
        <v>458</v>
      </c>
      <c r="C455" t="s">
        <v>8</v>
      </c>
      <c r="D455" s="6">
        <v>2034</v>
      </c>
      <c r="E455" t="s">
        <v>467</v>
      </c>
      <c r="F455" s="9" t="s">
        <v>27</v>
      </c>
      <c r="G455" s="30" t="s">
        <v>297</v>
      </c>
      <c r="H455" s="14">
        <f t="shared" si="17"/>
        <v>0</v>
      </c>
      <c r="I455" s="14">
        <f t="shared" si="20"/>
        <v>0</v>
      </c>
      <c r="J455" s="14"/>
      <c r="K455" s="14" t="s">
        <v>132</v>
      </c>
    </row>
    <row r="456" spans="2:11" ht="13.2">
      <c r="B456" t="s">
        <v>458</v>
      </c>
      <c r="C456" t="s">
        <v>8</v>
      </c>
      <c r="D456" s="6">
        <v>2035</v>
      </c>
      <c r="E456" t="s">
        <v>467</v>
      </c>
      <c r="F456" s="9" t="s">
        <v>27</v>
      </c>
      <c r="G456" s="30" t="s">
        <v>297</v>
      </c>
      <c r="H456" s="14">
        <f t="shared" si="17"/>
        <v>0</v>
      </c>
      <c r="I456" s="14">
        <f t="shared" si="20"/>
        <v>0</v>
      </c>
      <c r="J456" s="14"/>
      <c r="K456" s="14" t="s">
        <v>132</v>
      </c>
    </row>
    <row r="457" spans="2:11" ht="13.2">
      <c r="B457" t="s">
        <v>458</v>
      </c>
      <c r="C457" t="s">
        <v>8</v>
      </c>
      <c r="D457" s="6">
        <v>2036</v>
      </c>
      <c r="E457" t="s">
        <v>467</v>
      </c>
      <c r="F457" s="9" t="s">
        <v>27</v>
      </c>
      <c r="G457" s="30" t="s">
        <v>297</v>
      </c>
      <c r="H457" s="14">
        <f t="shared" si="17"/>
        <v>0</v>
      </c>
      <c r="I457" s="14">
        <f t="shared" si="20"/>
        <v>0</v>
      </c>
      <c r="J457" s="14"/>
      <c r="K457" s="14" t="s">
        <v>132</v>
      </c>
    </row>
    <row r="458" spans="2:11" ht="13.2">
      <c r="B458" t="s">
        <v>458</v>
      </c>
      <c r="C458" t="s">
        <v>8</v>
      </c>
      <c r="D458" s="6">
        <v>2037</v>
      </c>
      <c r="E458" t="s">
        <v>467</v>
      </c>
      <c r="F458" s="9" t="s">
        <v>27</v>
      </c>
      <c r="G458" s="30" t="s">
        <v>297</v>
      </c>
      <c r="H458" s="14">
        <f t="shared" si="17"/>
        <v>0</v>
      </c>
      <c r="I458" s="14">
        <f t="shared" si="20"/>
        <v>0</v>
      </c>
      <c r="J458" s="14"/>
      <c r="K458" s="14" t="s">
        <v>132</v>
      </c>
    </row>
    <row r="459" spans="2:11" ht="13.2">
      <c r="B459" t="s">
        <v>458</v>
      </c>
      <c r="C459" t="s">
        <v>8</v>
      </c>
      <c r="D459" s="6">
        <v>2038</v>
      </c>
      <c r="E459" t="s">
        <v>467</v>
      </c>
      <c r="F459" s="9" t="s">
        <v>27</v>
      </c>
      <c r="G459" s="30" t="s">
        <v>297</v>
      </c>
      <c r="H459" s="14">
        <f t="shared" ref="H459:H512" si="21">HLOOKUP(K459,FuelTax2,D459-2006,FALSE)*$C$10</f>
        <v>0</v>
      </c>
      <c r="I459" s="14">
        <f t="shared" si="20"/>
        <v>0</v>
      </c>
      <c r="J459" s="14"/>
      <c r="K459" s="14" t="s">
        <v>132</v>
      </c>
    </row>
    <row r="460" spans="2:11" ht="13.2">
      <c r="B460" t="s">
        <v>458</v>
      </c>
      <c r="C460" t="s">
        <v>8</v>
      </c>
      <c r="D460" s="6">
        <v>2039</v>
      </c>
      <c r="E460" t="s">
        <v>467</v>
      </c>
      <c r="F460" s="9" t="s">
        <v>27</v>
      </c>
      <c r="G460" s="30" t="s">
        <v>297</v>
      </c>
      <c r="H460" s="14">
        <f t="shared" si="21"/>
        <v>0</v>
      </c>
      <c r="I460" s="14">
        <f t="shared" si="20"/>
        <v>0</v>
      </c>
      <c r="J460" s="14"/>
      <c r="K460" s="14" t="s">
        <v>132</v>
      </c>
    </row>
    <row r="461" spans="2:11" ht="13.2">
      <c r="B461" t="s">
        <v>458</v>
      </c>
      <c r="C461" t="s">
        <v>8</v>
      </c>
      <c r="D461" s="6">
        <v>2040</v>
      </c>
      <c r="E461" t="s">
        <v>467</v>
      </c>
      <c r="F461" s="9" t="s">
        <v>27</v>
      </c>
      <c r="G461" s="30" t="s">
        <v>297</v>
      </c>
      <c r="H461" s="14">
        <f t="shared" si="21"/>
        <v>0</v>
      </c>
      <c r="I461" s="14">
        <f t="shared" si="20"/>
        <v>0</v>
      </c>
      <c r="J461" s="14"/>
      <c r="K461" s="14" t="s">
        <v>132</v>
      </c>
    </row>
    <row r="462" spans="2:11" ht="13.2">
      <c r="B462" t="s">
        <v>458</v>
      </c>
      <c r="C462" t="s">
        <v>8</v>
      </c>
      <c r="D462" s="6">
        <v>2041</v>
      </c>
      <c r="E462" t="s">
        <v>467</v>
      </c>
      <c r="F462" s="9" t="s">
        <v>27</v>
      </c>
      <c r="G462" s="30" t="s">
        <v>297</v>
      </c>
      <c r="H462" s="14">
        <f t="shared" si="21"/>
        <v>0</v>
      </c>
      <c r="I462" s="14">
        <f t="shared" si="20"/>
        <v>0</v>
      </c>
      <c r="J462" s="14"/>
      <c r="K462" s="14" t="s">
        <v>132</v>
      </c>
    </row>
    <row r="463" spans="2:11" ht="13.2">
      <c r="B463" t="s">
        <v>458</v>
      </c>
      <c r="C463" t="s">
        <v>8</v>
      </c>
      <c r="D463" s="6">
        <v>2042</v>
      </c>
      <c r="E463" t="s">
        <v>467</v>
      </c>
      <c r="F463" s="9" t="s">
        <v>27</v>
      </c>
      <c r="G463" s="30" t="s">
        <v>297</v>
      </c>
      <c r="H463" s="14">
        <f t="shared" si="21"/>
        <v>0</v>
      </c>
      <c r="I463" s="14">
        <f t="shared" si="20"/>
        <v>0</v>
      </c>
      <c r="J463" s="14"/>
      <c r="K463" s="14" t="s">
        <v>132</v>
      </c>
    </row>
    <row r="464" spans="2:11" ht="13.2">
      <c r="B464" t="s">
        <v>458</v>
      </c>
      <c r="C464" t="s">
        <v>8</v>
      </c>
      <c r="D464" s="6">
        <v>2043</v>
      </c>
      <c r="E464" t="s">
        <v>467</v>
      </c>
      <c r="F464" s="9" t="s">
        <v>27</v>
      </c>
      <c r="G464" s="30" t="s">
        <v>297</v>
      </c>
      <c r="H464" s="14">
        <f t="shared" si="21"/>
        <v>0</v>
      </c>
      <c r="I464" s="14">
        <f t="shared" si="20"/>
        <v>0</v>
      </c>
      <c r="J464" s="14"/>
      <c r="K464" s="14" t="s">
        <v>132</v>
      </c>
    </row>
    <row r="465" spans="2:11" ht="13.2">
      <c r="B465" t="s">
        <v>458</v>
      </c>
      <c r="C465" t="s">
        <v>8</v>
      </c>
      <c r="D465" s="6">
        <v>2044</v>
      </c>
      <c r="E465" t="s">
        <v>467</v>
      </c>
      <c r="F465" s="9" t="s">
        <v>27</v>
      </c>
      <c r="G465" s="30" t="s">
        <v>297</v>
      </c>
      <c r="H465" s="14">
        <f t="shared" si="21"/>
        <v>0</v>
      </c>
      <c r="I465" s="14">
        <f t="shared" si="20"/>
        <v>0</v>
      </c>
      <c r="J465" s="14"/>
      <c r="K465" s="14" t="s">
        <v>132</v>
      </c>
    </row>
    <row r="466" spans="2:11" ht="13.2">
      <c r="B466" t="s">
        <v>458</v>
      </c>
      <c r="C466" t="s">
        <v>8</v>
      </c>
      <c r="D466" s="6">
        <v>2045</v>
      </c>
      <c r="E466" t="s">
        <v>467</v>
      </c>
      <c r="F466" s="9" t="s">
        <v>27</v>
      </c>
      <c r="G466" s="30" t="s">
        <v>297</v>
      </c>
      <c r="H466" s="14">
        <f t="shared" si="21"/>
        <v>0</v>
      </c>
      <c r="I466" s="14">
        <f t="shared" si="20"/>
        <v>0</v>
      </c>
      <c r="J466" s="14"/>
      <c r="K466" s="14" t="s">
        <v>132</v>
      </c>
    </row>
    <row r="467" spans="2:11" ht="13.2">
      <c r="B467" t="s">
        <v>458</v>
      </c>
      <c r="C467" t="s">
        <v>8</v>
      </c>
      <c r="D467" s="6">
        <v>2046</v>
      </c>
      <c r="E467" t="s">
        <v>467</v>
      </c>
      <c r="F467" s="9" t="s">
        <v>27</v>
      </c>
      <c r="G467" s="30" t="s">
        <v>297</v>
      </c>
      <c r="H467" s="14">
        <f t="shared" si="21"/>
        <v>0</v>
      </c>
      <c r="I467" s="14">
        <f t="shared" si="20"/>
        <v>0</v>
      </c>
      <c r="J467" s="14"/>
      <c r="K467" s="14" t="s">
        <v>132</v>
      </c>
    </row>
    <row r="468" spans="2:11" ht="13.2">
      <c r="B468" t="s">
        <v>458</v>
      </c>
      <c r="C468" t="s">
        <v>8</v>
      </c>
      <c r="D468" s="6">
        <v>2047</v>
      </c>
      <c r="E468" t="s">
        <v>467</v>
      </c>
      <c r="F468" s="9" t="s">
        <v>27</v>
      </c>
      <c r="G468" s="30" t="s">
        <v>297</v>
      </c>
      <c r="H468" s="14">
        <f t="shared" si="21"/>
        <v>0</v>
      </c>
      <c r="I468" s="14">
        <f t="shared" si="20"/>
        <v>0</v>
      </c>
      <c r="J468" s="14"/>
      <c r="K468" s="14" t="s">
        <v>132</v>
      </c>
    </row>
    <row r="469" spans="2:11" ht="13.2">
      <c r="B469" t="s">
        <v>458</v>
      </c>
      <c r="C469" t="s">
        <v>8</v>
      </c>
      <c r="D469" s="6">
        <v>2048</v>
      </c>
      <c r="E469" t="s">
        <v>467</v>
      </c>
      <c r="F469" s="9" t="s">
        <v>27</v>
      </c>
      <c r="G469" s="30" t="s">
        <v>297</v>
      </c>
      <c r="H469" s="14">
        <f t="shared" si="21"/>
        <v>0</v>
      </c>
      <c r="I469" s="14">
        <f t="shared" si="20"/>
        <v>0</v>
      </c>
      <c r="J469" s="14"/>
      <c r="K469" s="14" t="s">
        <v>132</v>
      </c>
    </row>
    <row r="470" spans="2:11" ht="13.2">
      <c r="B470" t="s">
        <v>458</v>
      </c>
      <c r="C470" t="s">
        <v>8</v>
      </c>
      <c r="D470" s="6">
        <v>2049</v>
      </c>
      <c r="E470" t="s">
        <v>467</v>
      </c>
      <c r="F470" s="9" t="s">
        <v>27</v>
      </c>
      <c r="G470" s="30" t="s">
        <v>297</v>
      </c>
      <c r="H470" s="14">
        <f t="shared" si="21"/>
        <v>0</v>
      </c>
      <c r="I470" s="14">
        <f t="shared" si="20"/>
        <v>0</v>
      </c>
      <c r="J470" s="14"/>
      <c r="K470" s="14" t="s">
        <v>132</v>
      </c>
    </row>
    <row r="471" spans="2:11" ht="13.2">
      <c r="B471" s="7" t="s">
        <v>458</v>
      </c>
      <c r="C471" s="7" t="s">
        <v>8</v>
      </c>
      <c r="D471" s="8">
        <v>2050</v>
      </c>
      <c r="E471" s="7" t="s">
        <v>467</v>
      </c>
      <c r="F471" s="7" t="s">
        <v>27</v>
      </c>
      <c r="G471" s="35" t="s">
        <v>297</v>
      </c>
      <c r="H471" s="21">
        <f t="shared" si="21"/>
        <v>0</v>
      </c>
      <c r="I471" s="21">
        <f t="shared" si="20"/>
        <v>0</v>
      </c>
      <c r="J471" s="21"/>
      <c r="K471" s="14" t="s">
        <v>132</v>
      </c>
    </row>
    <row r="472" spans="2:11" ht="13.2">
      <c r="B472" t="s">
        <v>458</v>
      </c>
      <c r="C472" t="s">
        <v>8</v>
      </c>
      <c r="D472" s="6">
        <v>2010</v>
      </c>
      <c r="E472" t="s">
        <v>472</v>
      </c>
      <c r="F472" s="9" t="s">
        <v>27</v>
      </c>
      <c r="G472" s="30" t="s">
        <v>297</v>
      </c>
      <c r="H472" s="14">
        <f t="shared" si="21"/>
        <v>49.10483412971962</v>
      </c>
      <c r="I472" s="14">
        <f t="shared" si="20"/>
        <v>49.10483412971962</v>
      </c>
      <c r="J472" s="14"/>
      <c r="K472" s="14" t="s">
        <v>9</v>
      </c>
    </row>
    <row r="473" spans="2:11" ht="13.2">
      <c r="B473" t="s">
        <v>458</v>
      </c>
      <c r="C473" t="s">
        <v>8</v>
      </c>
      <c r="D473" s="6">
        <v>2011</v>
      </c>
      <c r="E473" t="s">
        <v>472</v>
      </c>
      <c r="F473" s="9" t="s">
        <v>27</v>
      </c>
      <c r="G473" s="30" t="s">
        <v>297</v>
      </c>
      <c r="H473" s="14">
        <f t="shared" si="21"/>
        <v>48.721608572358001</v>
      </c>
      <c r="I473" s="14">
        <f t="shared" si="20"/>
        <v>48.721608572358001</v>
      </c>
      <c r="J473" s="14"/>
      <c r="K473" s="14" t="s">
        <v>9</v>
      </c>
    </row>
    <row r="474" spans="2:11" ht="13.2">
      <c r="B474" t="s">
        <v>458</v>
      </c>
      <c r="C474" t="s">
        <v>8</v>
      </c>
      <c r="D474" s="6">
        <v>2012</v>
      </c>
      <c r="E474" t="s">
        <v>472</v>
      </c>
      <c r="F474" s="9" t="s">
        <v>27</v>
      </c>
      <c r="G474" s="30" t="s">
        <v>297</v>
      </c>
      <c r="H474" s="14">
        <f t="shared" si="21"/>
        <v>48.736631556149753</v>
      </c>
      <c r="I474" s="14">
        <f t="shared" si="20"/>
        <v>48.736631556149753</v>
      </c>
      <c r="J474" s="14"/>
      <c r="K474" s="14" t="s">
        <v>9</v>
      </c>
    </row>
    <row r="475" spans="2:11" ht="13.2">
      <c r="B475" t="s">
        <v>458</v>
      </c>
      <c r="C475" t="s">
        <v>8</v>
      </c>
      <c r="D475" s="6">
        <v>2013</v>
      </c>
      <c r="E475" t="s">
        <v>472</v>
      </c>
      <c r="F475" s="9" t="s">
        <v>27</v>
      </c>
      <c r="G475" s="30" t="s">
        <v>297</v>
      </c>
      <c r="H475" s="14">
        <f t="shared" si="21"/>
        <v>49.16333179103512</v>
      </c>
      <c r="I475" s="14">
        <f t="shared" si="20"/>
        <v>49.16333179103512</v>
      </c>
      <c r="J475" s="14"/>
      <c r="K475" s="14" t="s">
        <v>9</v>
      </c>
    </row>
    <row r="476" spans="2:11" ht="13.2">
      <c r="B476" t="s">
        <v>458</v>
      </c>
      <c r="C476" t="s">
        <v>8</v>
      </c>
      <c r="D476" s="6">
        <v>2014</v>
      </c>
      <c r="E476" t="s">
        <v>472</v>
      </c>
      <c r="F476" s="9" t="s">
        <v>27</v>
      </c>
      <c r="G476" s="30" t="s">
        <v>297</v>
      </c>
      <c r="H476" s="14">
        <f t="shared" si="21"/>
        <v>49.664714867617107</v>
      </c>
      <c r="I476" s="14">
        <f t="shared" si="20"/>
        <v>49.664714867617107</v>
      </c>
      <c r="J476" s="14"/>
      <c r="K476" s="14" t="s">
        <v>9</v>
      </c>
    </row>
    <row r="477" spans="2:11" ht="13.2">
      <c r="B477" t="s">
        <v>458</v>
      </c>
      <c r="C477" t="s">
        <v>8</v>
      </c>
      <c r="D477" s="6">
        <v>2015</v>
      </c>
      <c r="E477" t="s">
        <v>472</v>
      </c>
      <c r="F477" s="9" t="s">
        <v>27</v>
      </c>
      <c r="G477" s="30" t="s">
        <v>297</v>
      </c>
      <c r="H477" s="14">
        <f t="shared" si="21"/>
        <v>45.75</v>
      </c>
      <c r="I477" s="14">
        <f t="shared" si="20"/>
        <v>45.75</v>
      </c>
      <c r="J477" s="14"/>
      <c r="K477" s="14" t="s">
        <v>9</v>
      </c>
    </row>
    <row r="478" spans="2:11" ht="13.2">
      <c r="B478" t="s">
        <v>458</v>
      </c>
      <c r="C478" t="s">
        <v>8</v>
      </c>
      <c r="D478" s="6">
        <v>2016</v>
      </c>
      <c r="E478" t="s">
        <v>472</v>
      </c>
      <c r="F478" s="9" t="s">
        <v>27</v>
      </c>
      <c r="G478" s="30" t="s">
        <v>297</v>
      </c>
      <c r="H478" s="14">
        <f t="shared" si="21"/>
        <v>45.75</v>
      </c>
      <c r="I478" s="14">
        <f t="shared" si="20"/>
        <v>45.75</v>
      </c>
      <c r="J478" s="14"/>
      <c r="K478" s="14" t="s">
        <v>9</v>
      </c>
    </row>
    <row r="479" spans="2:11" ht="13.2">
      <c r="B479" t="s">
        <v>458</v>
      </c>
      <c r="C479" t="s">
        <v>8</v>
      </c>
      <c r="D479" s="6">
        <v>2017</v>
      </c>
      <c r="E479" t="s">
        <v>472</v>
      </c>
      <c r="F479" s="9" t="s">
        <v>27</v>
      </c>
      <c r="G479" s="30" t="s">
        <v>297</v>
      </c>
      <c r="H479" s="14">
        <f t="shared" si="21"/>
        <v>45.75</v>
      </c>
      <c r="I479" s="14">
        <f t="shared" si="20"/>
        <v>45.75</v>
      </c>
      <c r="J479" s="14"/>
      <c r="K479" s="14" t="s">
        <v>9</v>
      </c>
    </row>
    <row r="480" spans="2:11" ht="13.2">
      <c r="B480" t="s">
        <v>458</v>
      </c>
      <c r="C480" t="s">
        <v>8</v>
      </c>
      <c r="D480" s="6">
        <v>2018</v>
      </c>
      <c r="E480" t="s">
        <v>472</v>
      </c>
      <c r="F480" s="9" t="s">
        <v>27</v>
      </c>
      <c r="G480" s="30" t="s">
        <v>297</v>
      </c>
      <c r="H480" s="14">
        <f t="shared" si="21"/>
        <v>45.75</v>
      </c>
      <c r="I480" s="14">
        <f t="shared" si="20"/>
        <v>45.75</v>
      </c>
      <c r="J480" s="14"/>
      <c r="K480" s="14" t="s">
        <v>9</v>
      </c>
    </row>
    <row r="481" spans="2:11" ht="13.2">
      <c r="B481" t="s">
        <v>458</v>
      </c>
      <c r="C481" t="s">
        <v>8</v>
      </c>
      <c r="D481" s="6">
        <v>2019</v>
      </c>
      <c r="E481" t="s">
        <v>472</v>
      </c>
      <c r="F481" s="9" t="s">
        <v>27</v>
      </c>
      <c r="G481" s="30" t="s">
        <v>297</v>
      </c>
      <c r="H481" s="14">
        <f t="shared" si="21"/>
        <v>45.75</v>
      </c>
      <c r="I481" s="14">
        <f t="shared" si="20"/>
        <v>45.75</v>
      </c>
      <c r="J481" s="14"/>
      <c r="K481" s="14" t="s">
        <v>9</v>
      </c>
    </row>
    <row r="482" spans="2:11" ht="13.2">
      <c r="B482" t="s">
        <v>458</v>
      </c>
      <c r="C482" t="s">
        <v>8</v>
      </c>
      <c r="D482" s="6">
        <v>2020</v>
      </c>
      <c r="E482" t="s">
        <v>472</v>
      </c>
      <c r="F482" s="9" t="s">
        <v>27</v>
      </c>
      <c r="G482" s="30" t="s">
        <v>297</v>
      </c>
      <c r="H482" s="14">
        <f t="shared" si="21"/>
        <v>45.75</v>
      </c>
      <c r="I482" s="14">
        <f t="shared" si="20"/>
        <v>45.75</v>
      </c>
      <c r="J482" s="14"/>
      <c r="K482" s="14" t="s">
        <v>9</v>
      </c>
    </row>
    <row r="483" spans="2:11" ht="13.2">
      <c r="B483" t="s">
        <v>458</v>
      </c>
      <c r="C483" t="s">
        <v>8</v>
      </c>
      <c r="D483" s="6">
        <v>2021</v>
      </c>
      <c r="E483" t="s">
        <v>472</v>
      </c>
      <c r="F483" s="9" t="s">
        <v>27</v>
      </c>
      <c r="G483" s="30" t="s">
        <v>297</v>
      </c>
      <c r="H483" s="14">
        <f t="shared" si="21"/>
        <v>45.75</v>
      </c>
      <c r="I483" s="14">
        <f t="shared" si="20"/>
        <v>45.75</v>
      </c>
      <c r="J483" s="14"/>
      <c r="K483" s="14" t="s">
        <v>9</v>
      </c>
    </row>
    <row r="484" spans="2:11" ht="13.2">
      <c r="B484" t="s">
        <v>458</v>
      </c>
      <c r="C484" t="s">
        <v>8</v>
      </c>
      <c r="D484" s="6">
        <v>2022</v>
      </c>
      <c r="E484" t="s">
        <v>472</v>
      </c>
      <c r="F484" s="9" t="s">
        <v>27</v>
      </c>
      <c r="G484" s="30" t="s">
        <v>297</v>
      </c>
      <c r="H484" s="14">
        <f t="shared" si="21"/>
        <v>45.75</v>
      </c>
      <c r="I484" s="14">
        <f t="shared" si="20"/>
        <v>45.75</v>
      </c>
      <c r="J484" s="14"/>
      <c r="K484" s="14" t="s">
        <v>9</v>
      </c>
    </row>
    <row r="485" spans="2:11" ht="13.2">
      <c r="B485" t="s">
        <v>458</v>
      </c>
      <c r="C485" t="s">
        <v>8</v>
      </c>
      <c r="D485" s="6">
        <v>2023</v>
      </c>
      <c r="E485" t="s">
        <v>472</v>
      </c>
      <c r="F485" s="9" t="s">
        <v>27</v>
      </c>
      <c r="G485" s="30" t="s">
        <v>297</v>
      </c>
      <c r="H485" s="14">
        <f t="shared" si="21"/>
        <v>45.75</v>
      </c>
      <c r="I485" s="14">
        <f t="shared" si="20"/>
        <v>45.75</v>
      </c>
      <c r="J485" s="14"/>
      <c r="K485" s="14" t="s">
        <v>9</v>
      </c>
    </row>
    <row r="486" spans="2:11" ht="13.2">
      <c r="B486" t="s">
        <v>458</v>
      </c>
      <c r="C486" t="s">
        <v>8</v>
      </c>
      <c r="D486" s="6">
        <v>2024</v>
      </c>
      <c r="E486" t="s">
        <v>472</v>
      </c>
      <c r="F486" s="9" t="s">
        <v>27</v>
      </c>
      <c r="G486" s="30" t="s">
        <v>297</v>
      </c>
      <c r="H486" s="14">
        <f t="shared" si="21"/>
        <v>45.75</v>
      </c>
      <c r="I486" s="14">
        <f t="shared" si="20"/>
        <v>45.75</v>
      </c>
      <c r="J486" s="14"/>
      <c r="K486" s="14" t="s">
        <v>9</v>
      </c>
    </row>
    <row r="487" spans="2:11" ht="13.2">
      <c r="B487" t="s">
        <v>458</v>
      </c>
      <c r="C487" t="s">
        <v>8</v>
      </c>
      <c r="D487" s="6">
        <v>2025</v>
      </c>
      <c r="E487" t="s">
        <v>472</v>
      </c>
      <c r="F487" s="9" t="s">
        <v>27</v>
      </c>
      <c r="G487" s="30" t="s">
        <v>297</v>
      </c>
      <c r="H487" s="14">
        <f t="shared" si="21"/>
        <v>45.75</v>
      </c>
      <c r="I487" s="14">
        <f t="shared" si="20"/>
        <v>45.75</v>
      </c>
      <c r="J487" s="14"/>
      <c r="K487" s="14" t="s">
        <v>9</v>
      </c>
    </row>
    <row r="488" spans="2:11" ht="13.2">
      <c r="B488" t="s">
        <v>458</v>
      </c>
      <c r="C488" t="s">
        <v>8</v>
      </c>
      <c r="D488" s="6">
        <v>2026</v>
      </c>
      <c r="E488" t="s">
        <v>472</v>
      </c>
      <c r="F488" s="9" t="s">
        <v>27</v>
      </c>
      <c r="G488" s="30" t="s">
        <v>297</v>
      </c>
      <c r="H488" s="14">
        <f t="shared" si="21"/>
        <v>45.75</v>
      </c>
      <c r="I488" s="14">
        <f t="shared" si="20"/>
        <v>45.75</v>
      </c>
      <c r="J488" s="14"/>
      <c r="K488" s="14" t="s">
        <v>9</v>
      </c>
    </row>
    <row r="489" spans="2:11" ht="13.2">
      <c r="B489" t="s">
        <v>458</v>
      </c>
      <c r="C489" t="s">
        <v>8</v>
      </c>
      <c r="D489" s="6">
        <v>2027</v>
      </c>
      <c r="E489" t="s">
        <v>472</v>
      </c>
      <c r="F489" s="9" t="s">
        <v>27</v>
      </c>
      <c r="G489" s="30" t="s">
        <v>297</v>
      </c>
      <c r="H489" s="14">
        <f t="shared" si="21"/>
        <v>45.75</v>
      </c>
      <c r="I489" s="14">
        <f t="shared" si="20"/>
        <v>45.75</v>
      </c>
      <c r="J489" s="14"/>
      <c r="K489" s="14" t="s">
        <v>9</v>
      </c>
    </row>
    <row r="490" spans="2:11" ht="13.2">
      <c r="B490" t="s">
        <v>458</v>
      </c>
      <c r="C490" t="s">
        <v>8</v>
      </c>
      <c r="D490" s="6">
        <v>2028</v>
      </c>
      <c r="E490" t="s">
        <v>472</v>
      </c>
      <c r="F490" s="9" t="s">
        <v>27</v>
      </c>
      <c r="G490" s="30" t="s">
        <v>297</v>
      </c>
      <c r="H490" s="14">
        <f t="shared" si="21"/>
        <v>45.75</v>
      </c>
      <c r="I490" s="14">
        <f t="shared" si="20"/>
        <v>45.75</v>
      </c>
      <c r="J490" s="14"/>
      <c r="K490" s="14" t="s">
        <v>9</v>
      </c>
    </row>
    <row r="491" spans="2:11" ht="13.2">
      <c r="B491" t="s">
        <v>458</v>
      </c>
      <c r="C491" t="s">
        <v>8</v>
      </c>
      <c r="D491" s="6">
        <v>2029</v>
      </c>
      <c r="E491" t="s">
        <v>472</v>
      </c>
      <c r="F491" s="9" t="s">
        <v>27</v>
      </c>
      <c r="G491" s="30" t="s">
        <v>297</v>
      </c>
      <c r="H491" s="14">
        <f t="shared" si="21"/>
        <v>45.75</v>
      </c>
      <c r="I491" s="14">
        <f t="shared" si="20"/>
        <v>45.75</v>
      </c>
      <c r="J491" s="14"/>
      <c r="K491" s="14" t="s">
        <v>9</v>
      </c>
    </row>
    <row r="492" spans="2:11" ht="13.2">
      <c r="B492" t="s">
        <v>458</v>
      </c>
      <c r="C492" t="s">
        <v>8</v>
      </c>
      <c r="D492" s="6">
        <v>2030</v>
      </c>
      <c r="E492" t="s">
        <v>472</v>
      </c>
      <c r="F492" s="9" t="s">
        <v>27</v>
      </c>
      <c r="G492" s="30" t="s">
        <v>297</v>
      </c>
      <c r="H492" s="14">
        <f t="shared" si="21"/>
        <v>45.75</v>
      </c>
      <c r="I492" s="14">
        <f t="shared" si="20"/>
        <v>45.75</v>
      </c>
      <c r="J492" s="14"/>
      <c r="K492" s="14" t="s">
        <v>9</v>
      </c>
    </row>
    <row r="493" spans="2:11" ht="13.2">
      <c r="B493" t="s">
        <v>458</v>
      </c>
      <c r="C493" t="s">
        <v>8</v>
      </c>
      <c r="D493" s="6">
        <v>2031</v>
      </c>
      <c r="E493" t="s">
        <v>472</v>
      </c>
      <c r="F493" s="9" t="s">
        <v>27</v>
      </c>
      <c r="G493" s="30" t="s">
        <v>297</v>
      </c>
      <c r="H493" s="14">
        <f t="shared" si="21"/>
        <v>45.75</v>
      </c>
      <c r="I493" s="14">
        <f t="shared" si="20"/>
        <v>45.75</v>
      </c>
      <c r="J493" s="14"/>
      <c r="K493" s="14" t="s">
        <v>9</v>
      </c>
    </row>
    <row r="494" spans="2:11" ht="13.2">
      <c r="B494" t="s">
        <v>458</v>
      </c>
      <c r="C494" t="s">
        <v>8</v>
      </c>
      <c r="D494" s="6">
        <v>2032</v>
      </c>
      <c r="E494" t="s">
        <v>472</v>
      </c>
      <c r="F494" s="9" t="s">
        <v>27</v>
      </c>
      <c r="G494" s="30" t="s">
        <v>297</v>
      </c>
      <c r="H494" s="14">
        <f t="shared" si="21"/>
        <v>45.75</v>
      </c>
      <c r="I494" s="14">
        <f t="shared" si="20"/>
        <v>45.75</v>
      </c>
      <c r="J494" s="14"/>
      <c r="K494" s="14" t="s">
        <v>9</v>
      </c>
    </row>
    <row r="495" spans="2:11" ht="13.2">
      <c r="B495" t="s">
        <v>458</v>
      </c>
      <c r="C495" t="s">
        <v>8</v>
      </c>
      <c r="D495" s="6">
        <v>2033</v>
      </c>
      <c r="E495" t="s">
        <v>472</v>
      </c>
      <c r="F495" s="9" t="s">
        <v>27</v>
      </c>
      <c r="G495" s="30" t="s">
        <v>297</v>
      </c>
      <c r="H495" s="14">
        <f t="shared" si="21"/>
        <v>45.75</v>
      </c>
      <c r="I495" s="14">
        <f t="shared" ref="I495:I576" si="22">H495</f>
        <v>45.75</v>
      </c>
      <c r="J495" s="14"/>
      <c r="K495" s="14" t="s">
        <v>9</v>
      </c>
    </row>
    <row r="496" spans="2:11" ht="13.2">
      <c r="B496" t="s">
        <v>458</v>
      </c>
      <c r="C496" t="s">
        <v>8</v>
      </c>
      <c r="D496" s="6">
        <v>2034</v>
      </c>
      <c r="E496" t="s">
        <v>472</v>
      </c>
      <c r="F496" s="9" t="s">
        <v>27</v>
      </c>
      <c r="G496" s="30" t="s">
        <v>297</v>
      </c>
      <c r="H496" s="14">
        <f t="shared" si="21"/>
        <v>45.75</v>
      </c>
      <c r="I496" s="14">
        <f t="shared" si="22"/>
        <v>45.75</v>
      </c>
      <c r="J496" s="14"/>
      <c r="K496" s="14" t="s">
        <v>9</v>
      </c>
    </row>
    <row r="497" spans="2:11" ht="13.2">
      <c r="B497" t="s">
        <v>458</v>
      </c>
      <c r="C497" t="s">
        <v>8</v>
      </c>
      <c r="D497" s="6">
        <v>2035</v>
      </c>
      <c r="E497" t="s">
        <v>472</v>
      </c>
      <c r="F497" s="9" t="s">
        <v>27</v>
      </c>
      <c r="G497" s="30" t="s">
        <v>297</v>
      </c>
      <c r="H497" s="14">
        <f t="shared" si="21"/>
        <v>45.75</v>
      </c>
      <c r="I497" s="14">
        <f t="shared" si="22"/>
        <v>45.75</v>
      </c>
      <c r="J497" s="14"/>
      <c r="K497" s="14" t="s">
        <v>9</v>
      </c>
    </row>
    <row r="498" spans="2:11" ht="13.2">
      <c r="B498" t="s">
        <v>458</v>
      </c>
      <c r="C498" t="s">
        <v>8</v>
      </c>
      <c r="D498" s="6">
        <v>2036</v>
      </c>
      <c r="E498" t="s">
        <v>472</v>
      </c>
      <c r="F498" s="9" t="s">
        <v>27</v>
      </c>
      <c r="G498" s="30" t="s">
        <v>297</v>
      </c>
      <c r="H498" s="14">
        <f t="shared" si="21"/>
        <v>45.75</v>
      </c>
      <c r="I498" s="14">
        <f t="shared" si="22"/>
        <v>45.75</v>
      </c>
      <c r="J498" s="14"/>
      <c r="K498" s="14" t="s">
        <v>9</v>
      </c>
    </row>
    <row r="499" spans="2:11" ht="13.2">
      <c r="B499" t="s">
        <v>458</v>
      </c>
      <c r="C499" t="s">
        <v>8</v>
      </c>
      <c r="D499" s="6">
        <v>2037</v>
      </c>
      <c r="E499" t="s">
        <v>472</v>
      </c>
      <c r="F499" s="9" t="s">
        <v>27</v>
      </c>
      <c r="G499" s="30" t="s">
        <v>297</v>
      </c>
      <c r="H499" s="14">
        <f t="shared" si="21"/>
        <v>45.75</v>
      </c>
      <c r="I499" s="14">
        <f t="shared" si="22"/>
        <v>45.75</v>
      </c>
      <c r="J499" s="14"/>
      <c r="K499" s="14" t="s">
        <v>9</v>
      </c>
    </row>
    <row r="500" spans="2:11" ht="13.2">
      <c r="B500" t="s">
        <v>458</v>
      </c>
      <c r="C500" t="s">
        <v>8</v>
      </c>
      <c r="D500" s="6">
        <v>2038</v>
      </c>
      <c r="E500" t="s">
        <v>472</v>
      </c>
      <c r="F500" s="9" t="s">
        <v>27</v>
      </c>
      <c r="G500" s="30" t="s">
        <v>297</v>
      </c>
      <c r="H500" s="14">
        <f t="shared" si="21"/>
        <v>45.75</v>
      </c>
      <c r="I500" s="14">
        <f t="shared" si="22"/>
        <v>45.75</v>
      </c>
      <c r="J500" s="14"/>
      <c r="K500" s="14" t="s">
        <v>9</v>
      </c>
    </row>
    <row r="501" spans="2:11" ht="13.2">
      <c r="B501" t="s">
        <v>458</v>
      </c>
      <c r="C501" t="s">
        <v>8</v>
      </c>
      <c r="D501" s="6">
        <v>2039</v>
      </c>
      <c r="E501" t="s">
        <v>472</v>
      </c>
      <c r="F501" s="9" t="s">
        <v>27</v>
      </c>
      <c r="G501" s="30" t="s">
        <v>297</v>
      </c>
      <c r="H501" s="14">
        <f t="shared" si="21"/>
        <v>45.75</v>
      </c>
      <c r="I501" s="14">
        <f t="shared" si="22"/>
        <v>45.75</v>
      </c>
      <c r="J501" s="14"/>
      <c r="K501" s="14" t="s">
        <v>9</v>
      </c>
    </row>
    <row r="502" spans="2:11" ht="13.2">
      <c r="B502" t="s">
        <v>458</v>
      </c>
      <c r="C502" t="s">
        <v>8</v>
      </c>
      <c r="D502" s="6">
        <v>2040</v>
      </c>
      <c r="E502" t="s">
        <v>472</v>
      </c>
      <c r="F502" s="9" t="s">
        <v>27</v>
      </c>
      <c r="G502" s="30" t="s">
        <v>297</v>
      </c>
      <c r="H502" s="14">
        <f t="shared" si="21"/>
        <v>45.75</v>
      </c>
      <c r="I502" s="14">
        <f t="shared" si="22"/>
        <v>45.75</v>
      </c>
      <c r="J502" s="14"/>
      <c r="K502" s="14" t="s">
        <v>9</v>
      </c>
    </row>
    <row r="503" spans="2:11" ht="13.2">
      <c r="B503" t="s">
        <v>458</v>
      </c>
      <c r="C503" t="s">
        <v>8</v>
      </c>
      <c r="D503" s="6">
        <v>2041</v>
      </c>
      <c r="E503" t="s">
        <v>472</v>
      </c>
      <c r="F503" s="9" t="s">
        <v>27</v>
      </c>
      <c r="G503" s="30" t="s">
        <v>297</v>
      </c>
      <c r="H503" s="14">
        <f t="shared" si="21"/>
        <v>45.75</v>
      </c>
      <c r="I503" s="14">
        <f t="shared" si="22"/>
        <v>45.75</v>
      </c>
      <c r="J503" s="14"/>
      <c r="K503" s="14" t="s">
        <v>9</v>
      </c>
    </row>
    <row r="504" spans="2:11" ht="13.2">
      <c r="B504" t="s">
        <v>458</v>
      </c>
      <c r="C504" t="s">
        <v>8</v>
      </c>
      <c r="D504" s="6">
        <v>2042</v>
      </c>
      <c r="E504" t="s">
        <v>472</v>
      </c>
      <c r="F504" s="9" t="s">
        <v>27</v>
      </c>
      <c r="G504" s="30" t="s">
        <v>297</v>
      </c>
      <c r="H504" s="14">
        <f t="shared" si="21"/>
        <v>45.75</v>
      </c>
      <c r="I504" s="14">
        <f t="shared" si="22"/>
        <v>45.75</v>
      </c>
      <c r="J504" s="14"/>
      <c r="K504" s="14" t="s">
        <v>9</v>
      </c>
    </row>
    <row r="505" spans="2:11" ht="13.2">
      <c r="B505" t="s">
        <v>458</v>
      </c>
      <c r="C505" t="s">
        <v>8</v>
      </c>
      <c r="D505" s="6">
        <v>2043</v>
      </c>
      <c r="E505" t="s">
        <v>472</v>
      </c>
      <c r="F505" s="9" t="s">
        <v>27</v>
      </c>
      <c r="G505" s="30" t="s">
        <v>297</v>
      </c>
      <c r="H505" s="14">
        <f t="shared" si="21"/>
        <v>45.75</v>
      </c>
      <c r="I505" s="14">
        <f t="shared" si="22"/>
        <v>45.75</v>
      </c>
      <c r="J505" s="14"/>
      <c r="K505" s="14" t="s">
        <v>9</v>
      </c>
    </row>
    <row r="506" spans="2:11" ht="13.2">
      <c r="B506" t="s">
        <v>458</v>
      </c>
      <c r="C506" t="s">
        <v>8</v>
      </c>
      <c r="D506" s="6">
        <v>2044</v>
      </c>
      <c r="E506" t="s">
        <v>472</v>
      </c>
      <c r="F506" s="9" t="s">
        <v>27</v>
      </c>
      <c r="G506" s="30" t="s">
        <v>297</v>
      </c>
      <c r="H506" s="14">
        <f t="shared" si="21"/>
        <v>45.75</v>
      </c>
      <c r="I506" s="14">
        <f t="shared" si="22"/>
        <v>45.75</v>
      </c>
      <c r="J506" s="14"/>
      <c r="K506" s="14" t="s">
        <v>9</v>
      </c>
    </row>
    <row r="507" spans="2:11" ht="13.2">
      <c r="B507" t="s">
        <v>458</v>
      </c>
      <c r="C507" t="s">
        <v>8</v>
      </c>
      <c r="D507" s="6">
        <v>2045</v>
      </c>
      <c r="E507" t="s">
        <v>472</v>
      </c>
      <c r="F507" s="9" t="s">
        <v>27</v>
      </c>
      <c r="G507" s="30" t="s">
        <v>297</v>
      </c>
      <c r="H507" s="14">
        <f t="shared" si="21"/>
        <v>45.75</v>
      </c>
      <c r="I507" s="14">
        <f t="shared" si="22"/>
        <v>45.75</v>
      </c>
      <c r="J507" s="14"/>
      <c r="K507" s="14" t="s">
        <v>9</v>
      </c>
    </row>
    <row r="508" spans="2:11" ht="13.2">
      <c r="B508" t="s">
        <v>458</v>
      </c>
      <c r="C508" t="s">
        <v>8</v>
      </c>
      <c r="D508" s="6">
        <v>2046</v>
      </c>
      <c r="E508" t="s">
        <v>472</v>
      </c>
      <c r="F508" s="9" t="s">
        <v>27</v>
      </c>
      <c r="G508" s="30" t="s">
        <v>297</v>
      </c>
      <c r="H508" s="14">
        <f t="shared" si="21"/>
        <v>45.75</v>
      </c>
      <c r="I508" s="14">
        <f t="shared" si="22"/>
        <v>45.75</v>
      </c>
      <c r="J508" s="14"/>
      <c r="K508" s="14" t="s">
        <v>9</v>
      </c>
    </row>
    <row r="509" spans="2:11" ht="13.2">
      <c r="B509" t="s">
        <v>458</v>
      </c>
      <c r="C509" t="s">
        <v>8</v>
      </c>
      <c r="D509" s="6">
        <v>2047</v>
      </c>
      <c r="E509" t="s">
        <v>472</v>
      </c>
      <c r="F509" s="9" t="s">
        <v>27</v>
      </c>
      <c r="G509" s="30" t="s">
        <v>297</v>
      </c>
      <c r="H509" s="14">
        <f t="shared" si="21"/>
        <v>45.75</v>
      </c>
      <c r="I509" s="14">
        <f t="shared" si="22"/>
        <v>45.75</v>
      </c>
      <c r="J509" s="14"/>
      <c r="K509" s="14" t="s">
        <v>9</v>
      </c>
    </row>
    <row r="510" spans="2:11" ht="13.2">
      <c r="B510" t="s">
        <v>458</v>
      </c>
      <c r="C510" t="s">
        <v>8</v>
      </c>
      <c r="D510" s="6">
        <v>2048</v>
      </c>
      <c r="E510" t="s">
        <v>472</v>
      </c>
      <c r="F510" s="9" t="s">
        <v>27</v>
      </c>
      <c r="G510" s="30" t="s">
        <v>297</v>
      </c>
      <c r="H510" s="14">
        <f t="shared" si="21"/>
        <v>45.75</v>
      </c>
      <c r="I510" s="14">
        <f t="shared" si="22"/>
        <v>45.75</v>
      </c>
      <c r="J510" s="14"/>
      <c r="K510" s="14" t="s">
        <v>9</v>
      </c>
    </row>
    <row r="511" spans="2:11" ht="13.2">
      <c r="B511" t="s">
        <v>458</v>
      </c>
      <c r="C511" t="s">
        <v>8</v>
      </c>
      <c r="D511" s="6">
        <v>2049</v>
      </c>
      <c r="E511" t="s">
        <v>472</v>
      </c>
      <c r="F511" s="9" t="s">
        <v>27</v>
      </c>
      <c r="G511" s="30" t="s">
        <v>297</v>
      </c>
      <c r="H511" s="14">
        <f t="shared" si="21"/>
        <v>45.75</v>
      </c>
      <c r="I511" s="14">
        <f t="shared" si="22"/>
        <v>45.75</v>
      </c>
      <c r="J511" s="14"/>
      <c r="K511" s="14" t="s">
        <v>9</v>
      </c>
    </row>
    <row r="512" spans="2:11" ht="13.2">
      <c r="B512" s="7" t="s">
        <v>458</v>
      </c>
      <c r="C512" s="7" t="s">
        <v>8</v>
      </c>
      <c r="D512" s="8">
        <v>2050</v>
      </c>
      <c r="E512" s="7" t="s">
        <v>472</v>
      </c>
      <c r="F512" s="7" t="s">
        <v>27</v>
      </c>
      <c r="G512" s="35" t="s">
        <v>297</v>
      </c>
      <c r="H512" s="284">
        <f t="shared" si="21"/>
        <v>45.75</v>
      </c>
      <c r="I512" s="284">
        <f t="shared" si="22"/>
        <v>45.75</v>
      </c>
      <c r="J512" s="21"/>
      <c r="K512" s="14" t="s">
        <v>9</v>
      </c>
    </row>
    <row r="513" spans="2:11" ht="13.2">
      <c r="B513" t="s">
        <v>458</v>
      </c>
      <c r="C513" t="s">
        <v>8</v>
      </c>
      <c r="D513" s="6">
        <v>2010</v>
      </c>
      <c r="E513" t="s">
        <v>472</v>
      </c>
      <c r="F513" s="9" t="s">
        <v>27</v>
      </c>
      <c r="G513" s="30" t="s">
        <v>297</v>
      </c>
      <c r="H513" s="14">
        <f t="shared" ref="H513:H553" si="23">HLOOKUP(K513,FuelTax2,D513-2006,FALSE)*$C$10</f>
        <v>49.10483412971962</v>
      </c>
      <c r="I513" s="14">
        <f t="shared" si="22"/>
        <v>49.10483412971962</v>
      </c>
      <c r="J513" s="14"/>
      <c r="K513" s="14" t="s">
        <v>474</v>
      </c>
    </row>
    <row r="514" spans="2:11" ht="13.2">
      <c r="B514" t="s">
        <v>458</v>
      </c>
      <c r="C514" t="s">
        <v>8</v>
      </c>
      <c r="D514" s="6">
        <v>2011</v>
      </c>
      <c r="E514" t="s">
        <v>472</v>
      </c>
      <c r="F514" s="9" t="s">
        <v>27</v>
      </c>
      <c r="G514" s="30" t="s">
        <v>297</v>
      </c>
      <c r="H514" s="14">
        <f t="shared" si="23"/>
        <v>48.721608572358001</v>
      </c>
      <c r="I514" s="14">
        <f t="shared" si="22"/>
        <v>48.721608572358001</v>
      </c>
      <c r="J514" s="14"/>
      <c r="K514" s="14" t="s">
        <v>474</v>
      </c>
    </row>
    <row r="515" spans="2:11" ht="13.2">
      <c r="B515" t="s">
        <v>458</v>
      </c>
      <c r="C515" t="s">
        <v>8</v>
      </c>
      <c r="D515" s="6">
        <v>2012</v>
      </c>
      <c r="E515" t="s">
        <v>472</v>
      </c>
      <c r="F515" s="9" t="s">
        <v>27</v>
      </c>
      <c r="G515" s="30" t="s">
        <v>297</v>
      </c>
      <c r="H515" s="14">
        <f t="shared" si="23"/>
        <v>48.736631556149753</v>
      </c>
      <c r="I515" s="14">
        <f t="shared" si="22"/>
        <v>48.736631556149753</v>
      </c>
      <c r="J515" s="14"/>
      <c r="K515" s="14" t="s">
        <v>474</v>
      </c>
    </row>
    <row r="516" spans="2:11" ht="13.2">
      <c r="B516" t="s">
        <v>458</v>
      </c>
      <c r="C516" t="s">
        <v>8</v>
      </c>
      <c r="D516" s="6">
        <v>2013</v>
      </c>
      <c r="E516" t="s">
        <v>472</v>
      </c>
      <c r="F516" s="9" t="s">
        <v>27</v>
      </c>
      <c r="G516" s="30" t="s">
        <v>297</v>
      </c>
      <c r="H516" s="14">
        <f t="shared" si="23"/>
        <v>49.16333179103512</v>
      </c>
      <c r="I516" s="14">
        <f t="shared" si="22"/>
        <v>49.16333179103512</v>
      </c>
      <c r="J516" s="14"/>
      <c r="K516" s="14" t="s">
        <v>474</v>
      </c>
    </row>
    <row r="517" spans="2:11" ht="13.2">
      <c r="B517" t="s">
        <v>458</v>
      </c>
      <c r="C517" t="s">
        <v>8</v>
      </c>
      <c r="D517" s="6">
        <v>2014</v>
      </c>
      <c r="E517" t="s">
        <v>472</v>
      </c>
      <c r="F517" s="9" t="s">
        <v>27</v>
      </c>
      <c r="G517" s="30" t="s">
        <v>297</v>
      </c>
      <c r="H517" s="14">
        <f t="shared" si="23"/>
        <v>49.664714867617107</v>
      </c>
      <c r="I517" s="14">
        <f t="shared" si="22"/>
        <v>49.664714867617107</v>
      </c>
      <c r="J517" s="14"/>
      <c r="K517" s="14" t="s">
        <v>474</v>
      </c>
    </row>
    <row r="518" spans="2:11" ht="13.2">
      <c r="B518" t="s">
        <v>458</v>
      </c>
      <c r="C518" t="s">
        <v>8</v>
      </c>
      <c r="D518" s="6">
        <v>2015</v>
      </c>
      <c r="E518" t="s">
        <v>472</v>
      </c>
      <c r="F518" s="9" t="s">
        <v>27</v>
      </c>
      <c r="G518" s="30" t="s">
        <v>297</v>
      </c>
      <c r="H518" s="14">
        <f t="shared" si="23"/>
        <v>45.75</v>
      </c>
      <c r="I518" s="14">
        <f t="shared" si="22"/>
        <v>45.75</v>
      </c>
      <c r="J518" s="14"/>
      <c r="K518" s="14" t="s">
        <v>474</v>
      </c>
    </row>
    <row r="519" spans="2:11" ht="13.2">
      <c r="B519" t="s">
        <v>458</v>
      </c>
      <c r="C519" t="s">
        <v>8</v>
      </c>
      <c r="D519" s="6">
        <v>2016</v>
      </c>
      <c r="E519" t="s">
        <v>472</v>
      </c>
      <c r="F519" s="9" t="s">
        <v>27</v>
      </c>
      <c r="G519" s="30" t="s">
        <v>297</v>
      </c>
      <c r="H519" s="14">
        <f t="shared" si="23"/>
        <v>45.75</v>
      </c>
      <c r="I519" s="14">
        <f t="shared" si="22"/>
        <v>45.75</v>
      </c>
      <c r="J519" s="14"/>
      <c r="K519" s="14" t="s">
        <v>474</v>
      </c>
    </row>
    <row r="520" spans="2:11" ht="13.2">
      <c r="B520" t="s">
        <v>458</v>
      </c>
      <c r="C520" t="s">
        <v>8</v>
      </c>
      <c r="D520" s="6">
        <v>2017</v>
      </c>
      <c r="E520" t="s">
        <v>472</v>
      </c>
      <c r="F520" s="9" t="s">
        <v>27</v>
      </c>
      <c r="G520" s="30" t="s">
        <v>297</v>
      </c>
      <c r="H520" s="14">
        <f t="shared" si="23"/>
        <v>45.75</v>
      </c>
      <c r="I520" s="14">
        <f t="shared" si="22"/>
        <v>45.75</v>
      </c>
      <c r="J520" s="14"/>
      <c r="K520" s="14" t="s">
        <v>474</v>
      </c>
    </row>
    <row r="521" spans="2:11" ht="13.2">
      <c r="B521" t="s">
        <v>458</v>
      </c>
      <c r="C521" t="s">
        <v>8</v>
      </c>
      <c r="D521" s="6">
        <v>2018</v>
      </c>
      <c r="E521" t="s">
        <v>472</v>
      </c>
      <c r="F521" s="9" t="s">
        <v>27</v>
      </c>
      <c r="G521" s="30" t="s">
        <v>297</v>
      </c>
      <c r="H521" s="14">
        <f t="shared" si="23"/>
        <v>45.75</v>
      </c>
      <c r="I521" s="14">
        <f t="shared" si="22"/>
        <v>45.75</v>
      </c>
      <c r="J521" s="14"/>
      <c r="K521" s="14" t="s">
        <v>474</v>
      </c>
    </row>
    <row r="522" spans="2:11" ht="13.2">
      <c r="B522" t="s">
        <v>458</v>
      </c>
      <c r="C522" t="s">
        <v>8</v>
      </c>
      <c r="D522" s="6">
        <v>2019</v>
      </c>
      <c r="E522" t="s">
        <v>472</v>
      </c>
      <c r="F522" s="9" t="s">
        <v>27</v>
      </c>
      <c r="G522" s="30" t="s">
        <v>297</v>
      </c>
      <c r="H522" s="14">
        <f t="shared" si="23"/>
        <v>45.75</v>
      </c>
      <c r="I522" s="14">
        <f t="shared" si="22"/>
        <v>45.75</v>
      </c>
      <c r="J522" s="14"/>
      <c r="K522" s="14" t="s">
        <v>474</v>
      </c>
    </row>
    <row r="523" spans="2:11" ht="13.2">
      <c r="B523" t="s">
        <v>458</v>
      </c>
      <c r="C523" t="s">
        <v>8</v>
      </c>
      <c r="D523" s="6">
        <v>2020</v>
      </c>
      <c r="E523" t="s">
        <v>472</v>
      </c>
      <c r="F523" s="9" t="s">
        <v>27</v>
      </c>
      <c r="G523" s="30" t="s">
        <v>297</v>
      </c>
      <c r="H523" s="14">
        <f t="shared" si="23"/>
        <v>45.75</v>
      </c>
      <c r="I523" s="14">
        <f t="shared" si="22"/>
        <v>45.75</v>
      </c>
      <c r="J523" s="14"/>
      <c r="K523" s="14" t="s">
        <v>474</v>
      </c>
    </row>
    <row r="524" spans="2:11" ht="13.2">
      <c r="B524" t="s">
        <v>458</v>
      </c>
      <c r="C524" t="s">
        <v>8</v>
      </c>
      <c r="D524" s="6">
        <v>2021</v>
      </c>
      <c r="E524" t="s">
        <v>472</v>
      </c>
      <c r="F524" s="9" t="s">
        <v>27</v>
      </c>
      <c r="G524" s="30" t="s">
        <v>297</v>
      </c>
      <c r="H524" s="14">
        <f t="shared" si="23"/>
        <v>45.75</v>
      </c>
      <c r="I524" s="14">
        <f t="shared" si="22"/>
        <v>45.75</v>
      </c>
      <c r="J524" s="14"/>
      <c r="K524" s="14" t="s">
        <v>474</v>
      </c>
    </row>
    <row r="525" spans="2:11" ht="13.2">
      <c r="B525" t="s">
        <v>458</v>
      </c>
      <c r="C525" t="s">
        <v>8</v>
      </c>
      <c r="D525" s="6">
        <v>2022</v>
      </c>
      <c r="E525" t="s">
        <v>472</v>
      </c>
      <c r="F525" s="9" t="s">
        <v>27</v>
      </c>
      <c r="G525" s="30" t="s">
        <v>297</v>
      </c>
      <c r="H525" s="14">
        <f t="shared" si="23"/>
        <v>45.75</v>
      </c>
      <c r="I525" s="14">
        <f t="shared" si="22"/>
        <v>45.75</v>
      </c>
      <c r="J525" s="14"/>
      <c r="K525" s="14" t="s">
        <v>474</v>
      </c>
    </row>
    <row r="526" spans="2:11" ht="13.2">
      <c r="B526" t="s">
        <v>458</v>
      </c>
      <c r="C526" t="s">
        <v>8</v>
      </c>
      <c r="D526" s="6">
        <v>2023</v>
      </c>
      <c r="E526" t="s">
        <v>472</v>
      </c>
      <c r="F526" s="9" t="s">
        <v>27</v>
      </c>
      <c r="G526" s="30" t="s">
        <v>297</v>
      </c>
      <c r="H526" s="14">
        <f t="shared" si="23"/>
        <v>45.75</v>
      </c>
      <c r="I526" s="14">
        <f t="shared" si="22"/>
        <v>45.75</v>
      </c>
      <c r="J526" s="14"/>
      <c r="K526" s="14" t="s">
        <v>474</v>
      </c>
    </row>
    <row r="527" spans="2:11" ht="13.2">
      <c r="B527" t="s">
        <v>458</v>
      </c>
      <c r="C527" t="s">
        <v>8</v>
      </c>
      <c r="D527" s="6">
        <v>2024</v>
      </c>
      <c r="E527" t="s">
        <v>472</v>
      </c>
      <c r="F527" s="9" t="s">
        <v>27</v>
      </c>
      <c r="G527" s="30" t="s">
        <v>297</v>
      </c>
      <c r="H527" s="14">
        <f t="shared" si="23"/>
        <v>45.75</v>
      </c>
      <c r="I527" s="14">
        <f t="shared" si="22"/>
        <v>45.75</v>
      </c>
      <c r="J527" s="14"/>
      <c r="K527" s="14" t="s">
        <v>474</v>
      </c>
    </row>
    <row r="528" spans="2:11" ht="13.2">
      <c r="B528" t="s">
        <v>458</v>
      </c>
      <c r="C528" t="s">
        <v>8</v>
      </c>
      <c r="D528" s="6">
        <v>2025</v>
      </c>
      <c r="E528" t="s">
        <v>472</v>
      </c>
      <c r="F528" s="9" t="s">
        <v>27</v>
      </c>
      <c r="G528" s="30" t="s">
        <v>297</v>
      </c>
      <c r="H528" s="14">
        <f t="shared" si="23"/>
        <v>45.75</v>
      </c>
      <c r="I528" s="14">
        <f t="shared" si="22"/>
        <v>45.75</v>
      </c>
      <c r="J528" s="14"/>
      <c r="K528" s="14" t="s">
        <v>474</v>
      </c>
    </row>
    <row r="529" spans="2:11" ht="13.2">
      <c r="B529" t="s">
        <v>458</v>
      </c>
      <c r="C529" t="s">
        <v>8</v>
      </c>
      <c r="D529" s="6">
        <v>2026</v>
      </c>
      <c r="E529" t="s">
        <v>472</v>
      </c>
      <c r="F529" s="9" t="s">
        <v>27</v>
      </c>
      <c r="G529" s="30" t="s">
        <v>297</v>
      </c>
      <c r="H529" s="14">
        <f t="shared" si="23"/>
        <v>45.75</v>
      </c>
      <c r="I529" s="14">
        <f t="shared" si="22"/>
        <v>45.75</v>
      </c>
      <c r="J529" s="14"/>
      <c r="K529" s="14" t="s">
        <v>474</v>
      </c>
    </row>
    <row r="530" spans="2:11" ht="13.2">
      <c r="B530" t="s">
        <v>458</v>
      </c>
      <c r="C530" t="s">
        <v>8</v>
      </c>
      <c r="D530" s="6">
        <v>2027</v>
      </c>
      <c r="E530" t="s">
        <v>472</v>
      </c>
      <c r="F530" s="9" t="s">
        <v>27</v>
      </c>
      <c r="G530" s="30" t="s">
        <v>297</v>
      </c>
      <c r="H530" s="14">
        <f t="shared" si="23"/>
        <v>45.75</v>
      </c>
      <c r="I530" s="14">
        <f t="shared" si="22"/>
        <v>45.75</v>
      </c>
      <c r="J530" s="14"/>
      <c r="K530" s="14" t="s">
        <v>474</v>
      </c>
    </row>
    <row r="531" spans="2:11" ht="13.2">
      <c r="B531" t="s">
        <v>458</v>
      </c>
      <c r="C531" t="s">
        <v>8</v>
      </c>
      <c r="D531" s="6">
        <v>2028</v>
      </c>
      <c r="E531" t="s">
        <v>472</v>
      </c>
      <c r="F531" s="9" t="s">
        <v>27</v>
      </c>
      <c r="G531" s="30" t="s">
        <v>297</v>
      </c>
      <c r="H531" s="14">
        <f t="shared" si="23"/>
        <v>45.75</v>
      </c>
      <c r="I531" s="14">
        <f t="shared" si="22"/>
        <v>45.75</v>
      </c>
      <c r="J531" s="14"/>
      <c r="K531" s="14" t="s">
        <v>474</v>
      </c>
    </row>
    <row r="532" spans="2:11" ht="13.2">
      <c r="B532" t="s">
        <v>458</v>
      </c>
      <c r="C532" t="s">
        <v>8</v>
      </c>
      <c r="D532" s="6">
        <v>2029</v>
      </c>
      <c r="E532" t="s">
        <v>472</v>
      </c>
      <c r="F532" s="9" t="s">
        <v>27</v>
      </c>
      <c r="G532" s="30" t="s">
        <v>297</v>
      </c>
      <c r="H532" s="14">
        <f t="shared" si="23"/>
        <v>45.75</v>
      </c>
      <c r="I532" s="14">
        <f t="shared" si="22"/>
        <v>45.75</v>
      </c>
      <c r="J532" s="14"/>
      <c r="K532" s="14" t="s">
        <v>474</v>
      </c>
    </row>
    <row r="533" spans="2:11" ht="13.2">
      <c r="B533" t="s">
        <v>458</v>
      </c>
      <c r="C533" t="s">
        <v>8</v>
      </c>
      <c r="D533" s="6">
        <v>2030</v>
      </c>
      <c r="E533" t="s">
        <v>472</v>
      </c>
      <c r="F533" s="9" t="s">
        <v>27</v>
      </c>
      <c r="G533" s="30" t="s">
        <v>297</v>
      </c>
      <c r="H533" s="14">
        <f t="shared" si="23"/>
        <v>45.75</v>
      </c>
      <c r="I533" s="14">
        <f t="shared" si="22"/>
        <v>45.75</v>
      </c>
      <c r="J533" s="14"/>
      <c r="K533" s="14" t="s">
        <v>474</v>
      </c>
    </row>
    <row r="534" spans="2:11" ht="13.2">
      <c r="B534" t="s">
        <v>458</v>
      </c>
      <c r="C534" t="s">
        <v>8</v>
      </c>
      <c r="D534" s="6">
        <v>2031</v>
      </c>
      <c r="E534" t="s">
        <v>472</v>
      </c>
      <c r="F534" s="9" t="s">
        <v>27</v>
      </c>
      <c r="G534" s="30" t="s">
        <v>297</v>
      </c>
      <c r="H534" s="14">
        <f t="shared" si="23"/>
        <v>45.75</v>
      </c>
      <c r="I534" s="14">
        <f t="shared" si="22"/>
        <v>45.75</v>
      </c>
      <c r="J534" s="14"/>
      <c r="K534" s="14" t="s">
        <v>474</v>
      </c>
    </row>
    <row r="535" spans="2:11" ht="13.2">
      <c r="B535" t="s">
        <v>458</v>
      </c>
      <c r="C535" t="s">
        <v>8</v>
      </c>
      <c r="D535" s="6">
        <v>2032</v>
      </c>
      <c r="E535" t="s">
        <v>472</v>
      </c>
      <c r="F535" s="9" t="s">
        <v>27</v>
      </c>
      <c r="G535" s="30" t="s">
        <v>297</v>
      </c>
      <c r="H535" s="14">
        <f t="shared" si="23"/>
        <v>45.75</v>
      </c>
      <c r="I535" s="14">
        <f t="shared" si="22"/>
        <v>45.75</v>
      </c>
      <c r="J535" s="14"/>
      <c r="K535" s="14" t="s">
        <v>474</v>
      </c>
    </row>
    <row r="536" spans="2:11" ht="13.2">
      <c r="B536" t="s">
        <v>458</v>
      </c>
      <c r="C536" t="s">
        <v>8</v>
      </c>
      <c r="D536" s="6">
        <v>2033</v>
      </c>
      <c r="E536" t="s">
        <v>472</v>
      </c>
      <c r="F536" s="9" t="s">
        <v>27</v>
      </c>
      <c r="G536" s="30" t="s">
        <v>297</v>
      </c>
      <c r="H536" s="14">
        <f t="shared" si="23"/>
        <v>45.75</v>
      </c>
      <c r="I536" s="14">
        <f t="shared" ref="I536:I553" si="24">H536</f>
        <v>45.75</v>
      </c>
      <c r="J536" s="14"/>
      <c r="K536" s="14" t="s">
        <v>474</v>
      </c>
    </row>
    <row r="537" spans="2:11" ht="13.2">
      <c r="B537" t="s">
        <v>458</v>
      </c>
      <c r="C537" t="s">
        <v>8</v>
      </c>
      <c r="D537" s="6">
        <v>2034</v>
      </c>
      <c r="E537" t="s">
        <v>472</v>
      </c>
      <c r="F537" s="9" t="s">
        <v>27</v>
      </c>
      <c r="G537" s="30" t="s">
        <v>297</v>
      </c>
      <c r="H537" s="14">
        <f t="shared" si="23"/>
        <v>45.75</v>
      </c>
      <c r="I537" s="14">
        <f t="shared" si="24"/>
        <v>45.75</v>
      </c>
      <c r="J537" s="14"/>
      <c r="K537" s="14" t="s">
        <v>474</v>
      </c>
    </row>
    <row r="538" spans="2:11" ht="13.2">
      <c r="B538" t="s">
        <v>458</v>
      </c>
      <c r="C538" t="s">
        <v>8</v>
      </c>
      <c r="D538" s="6">
        <v>2035</v>
      </c>
      <c r="E538" t="s">
        <v>472</v>
      </c>
      <c r="F538" s="9" t="s">
        <v>27</v>
      </c>
      <c r="G538" s="30" t="s">
        <v>297</v>
      </c>
      <c r="H538" s="14">
        <f t="shared" si="23"/>
        <v>45.75</v>
      </c>
      <c r="I538" s="14">
        <f t="shared" si="24"/>
        <v>45.75</v>
      </c>
      <c r="J538" s="14"/>
      <c r="K538" s="14" t="s">
        <v>474</v>
      </c>
    </row>
    <row r="539" spans="2:11" ht="13.2">
      <c r="B539" t="s">
        <v>458</v>
      </c>
      <c r="C539" t="s">
        <v>8</v>
      </c>
      <c r="D539" s="6">
        <v>2036</v>
      </c>
      <c r="E539" t="s">
        <v>472</v>
      </c>
      <c r="F539" s="9" t="s">
        <v>27</v>
      </c>
      <c r="G539" s="30" t="s">
        <v>297</v>
      </c>
      <c r="H539" s="14">
        <f t="shared" si="23"/>
        <v>45.75</v>
      </c>
      <c r="I539" s="14">
        <f t="shared" si="24"/>
        <v>45.75</v>
      </c>
      <c r="J539" s="14"/>
      <c r="K539" s="14" t="s">
        <v>474</v>
      </c>
    </row>
    <row r="540" spans="2:11" ht="13.2">
      <c r="B540" t="s">
        <v>458</v>
      </c>
      <c r="C540" t="s">
        <v>8</v>
      </c>
      <c r="D540" s="6">
        <v>2037</v>
      </c>
      <c r="E540" t="s">
        <v>472</v>
      </c>
      <c r="F540" s="9" t="s">
        <v>27</v>
      </c>
      <c r="G540" s="30" t="s">
        <v>297</v>
      </c>
      <c r="H540" s="14">
        <f t="shared" si="23"/>
        <v>45.75</v>
      </c>
      <c r="I540" s="14">
        <f t="shared" si="24"/>
        <v>45.75</v>
      </c>
      <c r="J540" s="14"/>
      <c r="K540" s="14" t="s">
        <v>474</v>
      </c>
    </row>
    <row r="541" spans="2:11" ht="13.2">
      <c r="B541" t="s">
        <v>458</v>
      </c>
      <c r="C541" t="s">
        <v>8</v>
      </c>
      <c r="D541" s="6">
        <v>2038</v>
      </c>
      <c r="E541" t="s">
        <v>472</v>
      </c>
      <c r="F541" s="9" t="s">
        <v>27</v>
      </c>
      <c r="G541" s="30" t="s">
        <v>297</v>
      </c>
      <c r="H541" s="14">
        <f t="shared" si="23"/>
        <v>45.75</v>
      </c>
      <c r="I541" s="14">
        <f t="shared" si="24"/>
        <v>45.75</v>
      </c>
      <c r="J541" s="14"/>
      <c r="K541" s="14" t="s">
        <v>474</v>
      </c>
    </row>
    <row r="542" spans="2:11" ht="13.2">
      <c r="B542" t="s">
        <v>458</v>
      </c>
      <c r="C542" t="s">
        <v>8</v>
      </c>
      <c r="D542" s="6">
        <v>2039</v>
      </c>
      <c r="E542" t="s">
        <v>472</v>
      </c>
      <c r="F542" s="9" t="s">
        <v>27</v>
      </c>
      <c r="G542" s="30" t="s">
        <v>297</v>
      </c>
      <c r="H542" s="14">
        <f t="shared" si="23"/>
        <v>45.75</v>
      </c>
      <c r="I542" s="14">
        <f t="shared" si="24"/>
        <v>45.75</v>
      </c>
      <c r="J542" s="14"/>
      <c r="K542" s="14" t="s">
        <v>474</v>
      </c>
    </row>
    <row r="543" spans="2:11" ht="13.2">
      <c r="B543" t="s">
        <v>458</v>
      </c>
      <c r="C543" t="s">
        <v>8</v>
      </c>
      <c r="D543" s="6">
        <v>2040</v>
      </c>
      <c r="E543" t="s">
        <v>472</v>
      </c>
      <c r="F543" s="9" t="s">
        <v>27</v>
      </c>
      <c r="G543" s="30" t="s">
        <v>297</v>
      </c>
      <c r="H543" s="14">
        <f t="shared" si="23"/>
        <v>45.75</v>
      </c>
      <c r="I543" s="14">
        <f t="shared" si="24"/>
        <v>45.75</v>
      </c>
      <c r="J543" s="14"/>
      <c r="K543" s="14" t="s">
        <v>474</v>
      </c>
    </row>
    <row r="544" spans="2:11" ht="13.2">
      <c r="B544" t="s">
        <v>458</v>
      </c>
      <c r="C544" t="s">
        <v>8</v>
      </c>
      <c r="D544" s="6">
        <v>2041</v>
      </c>
      <c r="E544" t="s">
        <v>472</v>
      </c>
      <c r="F544" s="9" t="s">
        <v>27</v>
      </c>
      <c r="G544" s="30" t="s">
        <v>297</v>
      </c>
      <c r="H544" s="14">
        <f t="shared" si="23"/>
        <v>45.75</v>
      </c>
      <c r="I544" s="14">
        <f t="shared" si="24"/>
        <v>45.75</v>
      </c>
      <c r="J544" s="14"/>
      <c r="K544" s="14" t="s">
        <v>474</v>
      </c>
    </row>
    <row r="545" spans="2:11" ht="13.2">
      <c r="B545" t="s">
        <v>458</v>
      </c>
      <c r="C545" t="s">
        <v>8</v>
      </c>
      <c r="D545" s="6">
        <v>2042</v>
      </c>
      <c r="E545" t="s">
        <v>472</v>
      </c>
      <c r="F545" s="9" t="s">
        <v>27</v>
      </c>
      <c r="G545" s="30" t="s">
        <v>297</v>
      </c>
      <c r="H545" s="14">
        <f t="shared" si="23"/>
        <v>45.75</v>
      </c>
      <c r="I545" s="14">
        <f t="shared" si="24"/>
        <v>45.75</v>
      </c>
      <c r="J545" s="14"/>
      <c r="K545" s="14" t="s">
        <v>474</v>
      </c>
    </row>
    <row r="546" spans="2:11" ht="13.2">
      <c r="B546" t="s">
        <v>458</v>
      </c>
      <c r="C546" t="s">
        <v>8</v>
      </c>
      <c r="D546" s="6">
        <v>2043</v>
      </c>
      <c r="E546" t="s">
        <v>472</v>
      </c>
      <c r="F546" s="9" t="s">
        <v>27</v>
      </c>
      <c r="G546" s="30" t="s">
        <v>297</v>
      </c>
      <c r="H546" s="14">
        <f t="shared" si="23"/>
        <v>45.75</v>
      </c>
      <c r="I546" s="14">
        <f t="shared" si="24"/>
        <v>45.75</v>
      </c>
      <c r="J546" s="14"/>
      <c r="K546" s="14" t="s">
        <v>474</v>
      </c>
    </row>
    <row r="547" spans="2:11" ht="13.2">
      <c r="B547" t="s">
        <v>458</v>
      </c>
      <c r="C547" t="s">
        <v>8</v>
      </c>
      <c r="D547" s="6">
        <v>2044</v>
      </c>
      <c r="E547" t="s">
        <v>472</v>
      </c>
      <c r="F547" s="9" t="s">
        <v>27</v>
      </c>
      <c r="G547" s="30" t="s">
        <v>297</v>
      </c>
      <c r="H547" s="14">
        <f t="shared" si="23"/>
        <v>45.75</v>
      </c>
      <c r="I547" s="14">
        <f t="shared" si="24"/>
        <v>45.75</v>
      </c>
      <c r="J547" s="14"/>
      <c r="K547" s="14" t="s">
        <v>474</v>
      </c>
    </row>
    <row r="548" spans="2:11" ht="13.2">
      <c r="B548" t="s">
        <v>458</v>
      </c>
      <c r="C548" t="s">
        <v>8</v>
      </c>
      <c r="D548" s="6">
        <v>2045</v>
      </c>
      <c r="E548" t="s">
        <v>472</v>
      </c>
      <c r="F548" s="9" t="s">
        <v>27</v>
      </c>
      <c r="G548" s="30" t="s">
        <v>297</v>
      </c>
      <c r="H548" s="14">
        <f t="shared" si="23"/>
        <v>45.75</v>
      </c>
      <c r="I548" s="14">
        <f t="shared" si="24"/>
        <v>45.75</v>
      </c>
      <c r="J548" s="14"/>
      <c r="K548" s="14" t="s">
        <v>474</v>
      </c>
    </row>
    <row r="549" spans="2:11" ht="13.2">
      <c r="B549" t="s">
        <v>458</v>
      </c>
      <c r="C549" t="s">
        <v>8</v>
      </c>
      <c r="D549" s="6">
        <v>2046</v>
      </c>
      <c r="E549" t="s">
        <v>472</v>
      </c>
      <c r="F549" s="9" t="s">
        <v>27</v>
      </c>
      <c r="G549" s="30" t="s">
        <v>297</v>
      </c>
      <c r="H549" s="14">
        <f t="shared" si="23"/>
        <v>45.75</v>
      </c>
      <c r="I549" s="14">
        <f t="shared" si="24"/>
        <v>45.75</v>
      </c>
      <c r="J549" s="14"/>
      <c r="K549" s="14" t="s">
        <v>474</v>
      </c>
    </row>
    <row r="550" spans="2:11" ht="13.2">
      <c r="B550" t="s">
        <v>458</v>
      </c>
      <c r="C550" t="s">
        <v>8</v>
      </c>
      <c r="D550" s="6">
        <v>2047</v>
      </c>
      <c r="E550" t="s">
        <v>472</v>
      </c>
      <c r="F550" s="9" t="s">
        <v>27</v>
      </c>
      <c r="G550" s="30" t="s">
        <v>297</v>
      </c>
      <c r="H550" s="14">
        <f t="shared" si="23"/>
        <v>45.75</v>
      </c>
      <c r="I550" s="14">
        <f t="shared" si="24"/>
        <v>45.75</v>
      </c>
      <c r="J550" s="14"/>
      <c r="K550" s="14" t="s">
        <v>474</v>
      </c>
    </row>
    <row r="551" spans="2:11" ht="13.2">
      <c r="B551" t="s">
        <v>458</v>
      </c>
      <c r="C551" t="s">
        <v>8</v>
      </c>
      <c r="D551" s="6">
        <v>2048</v>
      </c>
      <c r="E551" t="s">
        <v>472</v>
      </c>
      <c r="F551" s="9" t="s">
        <v>27</v>
      </c>
      <c r="G551" s="30" t="s">
        <v>297</v>
      </c>
      <c r="H551" s="14">
        <f t="shared" si="23"/>
        <v>45.75</v>
      </c>
      <c r="I551" s="14">
        <f t="shared" si="24"/>
        <v>45.75</v>
      </c>
      <c r="J551" s="14"/>
      <c r="K551" s="14" t="s">
        <v>474</v>
      </c>
    </row>
    <row r="552" spans="2:11" ht="13.2">
      <c r="B552" t="s">
        <v>458</v>
      </c>
      <c r="C552" t="s">
        <v>8</v>
      </c>
      <c r="D552" s="6">
        <v>2049</v>
      </c>
      <c r="E552" t="s">
        <v>472</v>
      </c>
      <c r="F552" s="9" t="s">
        <v>27</v>
      </c>
      <c r="G552" s="30" t="s">
        <v>297</v>
      </c>
      <c r="H552" s="14">
        <f t="shared" si="23"/>
        <v>45.75</v>
      </c>
      <c r="I552" s="14">
        <f t="shared" si="24"/>
        <v>45.75</v>
      </c>
      <c r="J552" s="14"/>
      <c r="K552" s="14" t="s">
        <v>474</v>
      </c>
    </row>
    <row r="553" spans="2:11" ht="13.2">
      <c r="B553" s="7" t="s">
        <v>458</v>
      </c>
      <c r="C553" s="7" t="s">
        <v>8</v>
      </c>
      <c r="D553" s="8">
        <v>2050</v>
      </c>
      <c r="E553" s="7" t="s">
        <v>472</v>
      </c>
      <c r="F553" s="7" t="s">
        <v>27</v>
      </c>
      <c r="G553" s="35" t="s">
        <v>297</v>
      </c>
      <c r="H553" s="284">
        <f t="shared" si="23"/>
        <v>45.75</v>
      </c>
      <c r="I553" s="284">
        <f t="shared" si="24"/>
        <v>45.75</v>
      </c>
      <c r="J553" s="21"/>
      <c r="K553" s="14" t="s">
        <v>474</v>
      </c>
    </row>
    <row r="554" spans="2:11" ht="13.2">
      <c r="B554" t="s">
        <v>458</v>
      </c>
      <c r="C554" t="s">
        <v>8</v>
      </c>
      <c r="D554" s="6">
        <v>2010</v>
      </c>
      <c r="E554" t="s">
        <v>475</v>
      </c>
      <c r="F554" s="9" t="s">
        <v>27</v>
      </c>
      <c r="G554" s="30" t="s">
        <v>297</v>
      </c>
      <c r="H554" s="14">
        <f t="shared" ref="H554:H594" si="25">HLOOKUP(K554,FuelTax2,D554-2006,FALSE)*$C$10</f>
        <v>59.803040882509634</v>
      </c>
      <c r="I554" s="14">
        <f t="shared" si="22"/>
        <v>59.803040882509634</v>
      </c>
      <c r="J554" s="14"/>
      <c r="K554" s="14" t="s">
        <v>70</v>
      </c>
    </row>
    <row r="555" spans="2:11" ht="13.2">
      <c r="B555" t="s">
        <v>458</v>
      </c>
      <c r="C555" t="s">
        <v>8</v>
      </c>
      <c r="D555" s="6">
        <v>2011</v>
      </c>
      <c r="E555" t="s">
        <v>475</v>
      </c>
      <c r="F555" s="9" t="s">
        <v>27</v>
      </c>
      <c r="G555" s="30" t="s">
        <v>297</v>
      </c>
      <c r="H555" s="14">
        <f t="shared" si="25"/>
        <v>59.366399075340027</v>
      </c>
      <c r="I555" s="14">
        <f t="shared" si="22"/>
        <v>59.366399075340027</v>
      </c>
      <c r="J555" s="14"/>
      <c r="K555" s="14" t="s">
        <v>70</v>
      </c>
    </row>
    <row r="556" spans="2:11" ht="13.2">
      <c r="B556" t="s">
        <v>458</v>
      </c>
      <c r="C556" t="s">
        <v>8</v>
      </c>
      <c r="D556" s="6">
        <v>2012</v>
      </c>
      <c r="E556" t="s">
        <v>475</v>
      </c>
      <c r="F556" s="9" t="s">
        <v>27</v>
      </c>
      <c r="G556" s="30" t="s">
        <v>297</v>
      </c>
      <c r="H556" s="14">
        <f t="shared" si="25"/>
        <v>58.920226124767488</v>
      </c>
      <c r="I556" s="14">
        <f t="shared" si="22"/>
        <v>58.920226124767488</v>
      </c>
      <c r="J556" s="14"/>
      <c r="K556" s="14" t="s">
        <v>70</v>
      </c>
    </row>
    <row r="557" spans="2:11" ht="13.2">
      <c r="B557" t="s">
        <v>458</v>
      </c>
      <c r="C557" t="s">
        <v>8</v>
      </c>
      <c r="D557" s="6">
        <v>2013</v>
      </c>
      <c r="E557" t="s">
        <v>475</v>
      </c>
      <c r="F557" s="9" t="s">
        <v>27</v>
      </c>
      <c r="G557" s="30" t="s">
        <v>297</v>
      </c>
      <c r="H557" s="14">
        <f t="shared" si="25"/>
        <v>59.060486062678557</v>
      </c>
      <c r="I557" s="14">
        <f t="shared" si="22"/>
        <v>59.060486062678557</v>
      </c>
      <c r="J557" s="14"/>
      <c r="K557" s="14" t="s">
        <v>70</v>
      </c>
    </row>
    <row r="558" spans="2:11" ht="13.2">
      <c r="B558" t="s">
        <v>458</v>
      </c>
      <c r="C558" t="s">
        <v>8</v>
      </c>
      <c r="D558" s="6">
        <v>2014</v>
      </c>
      <c r="E558" t="s">
        <v>475</v>
      </c>
      <c r="F558" s="9" t="s">
        <v>27</v>
      </c>
      <c r="G558" s="30" t="s">
        <v>297</v>
      </c>
      <c r="H558" s="14">
        <f t="shared" si="25"/>
        <v>59.652812840979799</v>
      </c>
      <c r="I558" s="14">
        <f t="shared" si="22"/>
        <v>59.652812840979799</v>
      </c>
      <c r="J558" s="14"/>
      <c r="K558" s="14" t="s">
        <v>70</v>
      </c>
    </row>
    <row r="559" spans="2:11" ht="13.2">
      <c r="B559" t="s">
        <v>458</v>
      </c>
      <c r="C559" t="s">
        <v>8</v>
      </c>
      <c r="D559" s="6">
        <v>2015</v>
      </c>
      <c r="E559" t="s">
        <v>475</v>
      </c>
      <c r="F559" s="9" t="s">
        <v>27</v>
      </c>
      <c r="G559" s="30" t="s">
        <v>297</v>
      </c>
      <c r="H559" s="14">
        <f t="shared" si="25"/>
        <v>62.666666666666671</v>
      </c>
      <c r="I559" s="14">
        <f t="shared" si="22"/>
        <v>62.666666666666671</v>
      </c>
      <c r="J559" s="14"/>
      <c r="K559" s="14" t="s">
        <v>70</v>
      </c>
    </row>
    <row r="560" spans="2:11" ht="13.2">
      <c r="B560" t="s">
        <v>458</v>
      </c>
      <c r="C560" t="s">
        <v>8</v>
      </c>
      <c r="D560" s="6">
        <v>2016</v>
      </c>
      <c r="E560" t="s">
        <v>475</v>
      </c>
      <c r="F560" s="9" t="s">
        <v>27</v>
      </c>
      <c r="G560" s="30" t="s">
        <v>297</v>
      </c>
      <c r="H560" s="14">
        <f t="shared" si="25"/>
        <v>62.666666666666671</v>
      </c>
      <c r="I560" s="14">
        <f t="shared" si="22"/>
        <v>62.666666666666671</v>
      </c>
      <c r="J560" s="14"/>
      <c r="K560" s="14" t="s">
        <v>70</v>
      </c>
    </row>
    <row r="561" spans="2:11" ht="13.2">
      <c r="B561" t="s">
        <v>458</v>
      </c>
      <c r="C561" t="s">
        <v>8</v>
      </c>
      <c r="D561" s="6">
        <v>2017</v>
      </c>
      <c r="E561" t="s">
        <v>475</v>
      </c>
      <c r="F561" s="9" t="s">
        <v>27</v>
      </c>
      <c r="G561" s="30" t="s">
        <v>297</v>
      </c>
      <c r="H561" s="14">
        <f t="shared" si="25"/>
        <v>62.666666666666671</v>
      </c>
      <c r="I561" s="14">
        <f t="shared" si="22"/>
        <v>62.666666666666671</v>
      </c>
      <c r="J561" s="14"/>
      <c r="K561" s="14" t="s">
        <v>70</v>
      </c>
    </row>
    <row r="562" spans="2:11" ht="13.2">
      <c r="B562" t="s">
        <v>458</v>
      </c>
      <c r="C562" t="s">
        <v>8</v>
      </c>
      <c r="D562" s="6">
        <v>2018</v>
      </c>
      <c r="E562" t="s">
        <v>475</v>
      </c>
      <c r="F562" s="9" t="s">
        <v>27</v>
      </c>
      <c r="G562" s="30" t="s">
        <v>297</v>
      </c>
      <c r="H562" s="14">
        <f t="shared" si="25"/>
        <v>62.666666666666671</v>
      </c>
      <c r="I562" s="14">
        <f t="shared" si="22"/>
        <v>62.666666666666671</v>
      </c>
      <c r="J562" s="14"/>
      <c r="K562" s="14" t="s">
        <v>70</v>
      </c>
    </row>
    <row r="563" spans="2:11" ht="13.2">
      <c r="B563" t="s">
        <v>458</v>
      </c>
      <c r="C563" t="s">
        <v>8</v>
      </c>
      <c r="D563" s="6">
        <v>2019</v>
      </c>
      <c r="E563" t="s">
        <v>475</v>
      </c>
      <c r="F563" s="9" t="s">
        <v>27</v>
      </c>
      <c r="G563" s="30" t="s">
        <v>297</v>
      </c>
      <c r="H563" s="14">
        <f t="shared" si="25"/>
        <v>62.666666666666671</v>
      </c>
      <c r="I563" s="14">
        <f t="shared" si="22"/>
        <v>62.666666666666671</v>
      </c>
      <c r="J563" s="14"/>
      <c r="K563" s="14" t="s">
        <v>70</v>
      </c>
    </row>
    <row r="564" spans="2:11" ht="13.2">
      <c r="B564" t="s">
        <v>458</v>
      </c>
      <c r="C564" t="s">
        <v>8</v>
      </c>
      <c r="D564" s="6">
        <v>2020</v>
      </c>
      <c r="E564" t="s">
        <v>475</v>
      </c>
      <c r="F564" s="9" t="s">
        <v>27</v>
      </c>
      <c r="G564" s="30" t="s">
        <v>297</v>
      </c>
      <c r="H564" s="14">
        <f t="shared" si="25"/>
        <v>62.666666666666671</v>
      </c>
      <c r="I564" s="14">
        <f t="shared" si="22"/>
        <v>62.666666666666671</v>
      </c>
      <c r="J564" s="14"/>
      <c r="K564" s="14" t="s">
        <v>70</v>
      </c>
    </row>
    <row r="565" spans="2:11" ht="13.2">
      <c r="B565" t="s">
        <v>458</v>
      </c>
      <c r="C565" t="s">
        <v>8</v>
      </c>
      <c r="D565" s="6">
        <v>2021</v>
      </c>
      <c r="E565" t="s">
        <v>475</v>
      </c>
      <c r="F565" s="9" t="s">
        <v>27</v>
      </c>
      <c r="G565" s="30" t="s">
        <v>297</v>
      </c>
      <c r="H565" s="14">
        <f t="shared" si="25"/>
        <v>62.666666666666671</v>
      </c>
      <c r="I565" s="14">
        <f t="shared" si="22"/>
        <v>62.666666666666671</v>
      </c>
      <c r="J565" s="14"/>
      <c r="K565" s="14" t="s">
        <v>70</v>
      </c>
    </row>
    <row r="566" spans="2:11" ht="13.2">
      <c r="B566" t="s">
        <v>458</v>
      </c>
      <c r="C566" t="s">
        <v>8</v>
      </c>
      <c r="D566" s="6">
        <v>2022</v>
      </c>
      <c r="E566" t="s">
        <v>475</v>
      </c>
      <c r="F566" s="9" t="s">
        <v>27</v>
      </c>
      <c r="G566" s="30" t="s">
        <v>297</v>
      </c>
      <c r="H566" s="14">
        <f t="shared" si="25"/>
        <v>62.666666666666671</v>
      </c>
      <c r="I566" s="14">
        <f t="shared" si="22"/>
        <v>62.666666666666671</v>
      </c>
      <c r="J566" s="14"/>
      <c r="K566" s="14" t="s">
        <v>70</v>
      </c>
    </row>
    <row r="567" spans="2:11" ht="13.2">
      <c r="B567" t="s">
        <v>458</v>
      </c>
      <c r="C567" t="s">
        <v>8</v>
      </c>
      <c r="D567" s="6">
        <v>2023</v>
      </c>
      <c r="E567" t="s">
        <v>475</v>
      </c>
      <c r="F567" s="9" t="s">
        <v>27</v>
      </c>
      <c r="G567" s="30" t="s">
        <v>297</v>
      </c>
      <c r="H567" s="14">
        <f t="shared" si="25"/>
        <v>62.666666666666671</v>
      </c>
      <c r="I567" s="14">
        <f t="shared" si="22"/>
        <v>62.666666666666671</v>
      </c>
      <c r="J567" s="14"/>
      <c r="K567" s="14" t="s">
        <v>70</v>
      </c>
    </row>
    <row r="568" spans="2:11" ht="13.2">
      <c r="B568" t="s">
        <v>458</v>
      </c>
      <c r="C568" t="s">
        <v>8</v>
      </c>
      <c r="D568" s="6">
        <v>2024</v>
      </c>
      <c r="E568" t="s">
        <v>475</v>
      </c>
      <c r="F568" s="9" t="s">
        <v>27</v>
      </c>
      <c r="G568" s="30" t="s">
        <v>297</v>
      </c>
      <c r="H568" s="14">
        <f t="shared" si="25"/>
        <v>62.666666666666671</v>
      </c>
      <c r="I568" s="14">
        <f t="shared" si="22"/>
        <v>62.666666666666671</v>
      </c>
      <c r="J568" s="14"/>
      <c r="K568" s="14" t="s">
        <v>70</v>
      </c>
    </row>
    <row r="569" spans="2:11" ht="13.2">
      <c r="B569" t="s">
        <v>458</v>
      </c>
      <c r="C569" t="s">
        <v>8</v>
      </c>
      <c r="D569" s="6">
        <v>2025</v>
      </c>
      <c r="E569" t="s">
        <v>475</v>
      </c>
      <c r="F569" s="9" t="s">
        <v>27</v>
      </c>
      <c r="G569" s="30" t="s">
        <v>297</v>
      </c>
      <c r="H569" s="14">
        <f t="shared" si="25"/>
        <v>62.666666666666671</v>
      </c>
      <c r="I569" s="14">
        <f t="shared" si="22"/>
        <v>62.666666666666671</v>
      </c>
      <c r="J569" s="14"/>
      <c r="K569" s="14" t="s">
        <v>70</v>
      </c>
    </row>
    <row r="570" spans="2:11" ht="13.2">
      <c r="B570" t="s">
        <v>458</v>
      </c>
      <c r="C570" t="s">
        <v>8</v>
      </c>
      <c r="D570" s="6">
        <v>2026</v>
      </c>
      <c r="E570" t="s">
        <v>475</v>
      </c>
      <c r="F570" s="9" t="s">
        <v>27</v>
      </c>
      <c r="G570" s="30" t="s">
        <v>297</v>
      </c>
      <c r="H570" s="14">
        <f t="shared" si="25"/>
        <v>62.666666666666671</v>
      </c>
      <c r="I570" s="14">
        <f t="shared" si="22"/>
        <v>62.666666666666671</v>
      </c>
      <c r="J570" s="14"/>
      <c r="K570" s="14" t="s">
        <v>70</v>
      </c>
    </row>
    <row r="571" spans="2:11" ht="13.2">
      <c r="B571" t="s">
        <v>458</v>
      </c>
      <c r="C571" t="s">
        <v>8</v>
      </c>
      <c r="D571" s="6">
        <v>2027</v>
      </c>
      <c r="E571" t="s">
        <v>475</v>
      </c>
      <c r="F571" s="9" t="s">
        <v>27</v>
      </c>
      <c r="G571" s="30" t="s">
        <v>297</v>
      </c>
      <c r="H571" s="14">
        <f t="shared" si="25"/>
        <v>62.666666666666671</v>
      </c>
      <c r="I571" s="14">
        <f t="shared" si="22"/>
        <v>62.666666666666671</v>
      </c>
      <c r="J571" s="14"/>
      <c r="K571" s="14" t="s">
        <v>70</v>
      </c>
    </row>
    <row r="572" spans="2:11" ht="13.2">
      <c r="B572" t="s">
        <v>458</v>
      </c>
      <c r="C572" t="s">
        <v>8</v>
      </c>
      <c r="D572" s="6">
        <v>2028</v>
      </c>
      <c r="E572" t="s">
        <v>475</v>
      </c>
      <c r="F572" s="9" t="s">
        <v>27</v>
      </c>
      <c r="G572" s="30" t="s">
        <v>297</v>
      </c>
      <c r="H572" s="14">
        <f t="shared" si="25"/>
        <v>62.666666666666671</v>
      </c>
      <c r="I572" s="14">
        <f t="shared" si="22"/>
        <v>62.666666666666671</v>
      </c>
      <c r="J572" s="14"/>
      <c r="K572" s="14" t="s">
        <v>70</v>
      </c>
    </row>
    <row r="573" spans="2:11" ht="13.2">
      <c r="B573" t="s">
        <v>458</v>
      </c>
      <c r="C573" t="s">
        <v>8</v>
      </c>
      <c r="D573" s="6">
        <v>2029</v>
      </c>
      <c r="E573" t="s">
        <v>475</v>
      </c>
      <c r="F573" s="9" t="s">
        <v>27</v>
      </c>
      <c r="G573" s="30" t="s">
        <v>297</v>
      </c>
      <c r="H573" s="14">
        <f t="shared" si="25"/>
        <v>62.666666666666671</v>
      </c>
      <c r="I573" s="14">
        <f t="shared" si="22"/>
        <v>62.666666666666671</v>
      </c>
      <c r="J573" s="14"/>
      <c r="K573" s="14" t="s">
        <v>70</v>
      </c>
    </row>
    <row r="574" spans="2:11" ht="13.2">
      <c r="B574" t="s">
        <v>458</v>
      </c>
      <c r="C574" t="s">
        <v>8</v>
      </c>
      <c r="D574" s="6">
        <v>2030</v>
      </c>
      <c r="E574" t="s">
        <v>475</v>
      </c>
      <c r="F574" s="9" t="s">
        <v>27</v>
      </c>
      <c r="G574" s="30" t="s">
        <v>297</v>
      </c>
      <c r="H574" s="14">
        <f t="shared" si="25"/>
        <v>62.666666666666671</v>
      </c>
      <c r="I574" s="14">
        <f t="shared" si="22"/>
        <v>62.666666666666671</v>
      </c>
      <c r="J574" s="14"/>
      <c r="K574" s="14" t="s">
        <v>70</v>
      </c>
    </row>
    <row r="575" spans="2:11" ht="13.2">
      <c r="B575" t="s">
        <v>458</v>
      </c>
      <c r="C575" t="s">
        <v>8</v>
      </c>
      <c r="D575" s="6">
        <v>2031</v>
      </c>
      <c r="E575" t="s">
        <v>475</v>
      </c>
      <c r="F575" s="9" t="s">
        <v>27</v>
      </c>
      <c r="G575" s="30" t="s">
        <v>297</v>
      </c>
      <c r="H575" s="14">
        <f t="shared" si="25"/>
        <v>62.666666666666671</v>
      </c>
      <c r="I575" s="14">
        <f t="shared" si="22"/>
        <v>62.666666666666671</v>
      </c>
      <c r="J575" s="14"/>
      <c r="K575" s="14" t="s">
        <v>70</v>
      </c>
    </row>
    <row r="576" spans="2:11" ht="13.2">
      <c r="B576" t="s">
        <v>458</v>
      </c>
      <c r="C576" t="s">
        <v>8</v>
      </c>
      <c r="D576" s="6">
        <v>2032</v>
      </c>
      <c r="E576" t="s">
        <v>475</v>
      </c>
      <c r="F576" s="9" t="s">
        <v>27</v>
      </c>
      <c r="G576" s="30" t="s">
        <v>297</v>
      </c>
      <c r="H576" s="14">
        <f t="shared" si="25"/>
        <v>62.666666666666671</v>
      </c>
      <c r="I576" s="14">
        <f t="shared" si="22"/>
        <v>62.666666666666671</v>
      </c>
      <c r="J576" s="14"/>
      <c r="K576" s="14" t="s">
        <v>70</v>
      </c>
    </row>
    <row r="577" spans="2:11" ht="13.2">
      <c r="B577" t="s">
        <v>458</v>
      </c>
      <c r="C577" t="s">
        <v>8</v>
      </c>
      <c r="D577" s="6">
        <v>2033</v>
      </c>
      <c r="E577" t="s">
        <v>475</v>
      </c>
      <c r="F577" s="9" t="s">
        <v>27</v>
      </c>
      <c r="G577" s="30" t="s">
        <v>297</v>
      </c>
      <c r="H577" s="14">
        <f t="shared" si="25"/>
        <v>62.666666666666671</v>
      </c>
      <c r="I577" s="14">
        <f t="shared" ref="I577:I594" si="26">H577</f>
        <v>62.666666666666671</v>
      </c>
      <c r="J577" s="14"/>
      <c r="K577" s="14" t="s">
        <v>70</v>
      </c>
    </row>
    <row r="578" spans="2:11" ht="13.2">
      <c r="B578" t="s">
        <v>458</v>
      </c>
      <c r="C578" t="s">
        <v>8</v>
      </c>
      <c r="D578" s="6">
        <v>2034</v>
      </c>
      <c r="E578" t="s">
        <v>475</v>
      </c>
      <c r="F578" s="9" t="s">
        <v>27</v>
      </c>
      <c r="G578" s="30" t="s">
        <v>297</v>
      </c>
      <c r="H578" s="14">
        <f t="shared" si="25"/>
        <v>62.666666666666671</v>
      </c>
      <c r="I578" s="14">
        <f t="shared" si="26"/>
        <v>62.666666666666671</v>
      </c>
      <c r="J578" s="14"/>
      <c r="K578" s="14" t="s">
        <v>70</v>
      </c>
    </row>
    <row r="579" spans="2:11" ht="13.2">
      <c r="B579" t="s">
        <v>458</v>
      </c>
      <c r="C579" t="s">
        <v>8</v>
      </c>
      <c r="D579" s="6">
        <v>2035</v>
      </c>
      <c r="E579" t="s">
        <v>475</v>
      </c>
      <c r="F579" s="9" t="s">
        <v>27</v>
      </c>
      <c r="G579" s="30" t="s">
        <v>297</v>
      </c>
      <c r="H579" s="14">
        <f t="shared" si="25"/>
        <v>62.666666666666671</v>
      </c>
      <c r="I579" s="14">
        <f t="shared" si="26"/>
        <v>62.666666666666671</v>
      </c>
      <c r="J579" s="14"/>
      <c r="K579" s="14" t="s">
        <v>70</v>
      </c>
    </row>
    <row r="580" spans="2:11" ht="13.2">
      <c r="B580" t="s">
        <v>458</v>
      </c>
      <c r="C580" t="s">
        <v>8</v>
      </c>
      <c r="D580" s="6">
        <v>2036</v>
      </c>
      <c r="E580" t="s">
        <v>475</v>
      </c>
      <c r="F580" s="9" t="s">
        <v>27</v>
      </c>
      <c r="G580" s="30" t="s">
        <v>297</v>
      </c>
      <c r="H580" s="14">
        <f t="shared" si="25"/>
        <v>62.666666666666671</v>
      </c>
      <c r="I580" s="14">
        <f t="shared" si="26"/>
        <v>62.666666666666671</v>
      </c>
      <c r="J580" s="14"/>
      <c r="K580" s="14" t="s">
        <v>70</v>
      </c>
    </row>
    <row r="581" spans="2:11" ht="13.2">
      <c r="B581" t="s">
        <v>458</v>
      </c>
      <c r="C581" t="s">
        <v>8</v>
      </c>
      <c r="D581" s="6">
        <v>2037</v>
      </c>
      <c r="E581" t="s">
        <v>475</v>
      </c>
      <c r="F581" s="9" t="s">
        <v>27</v>
      </c>
      <c r="G581" s="30" t="s">
        <v>297</v>
      </c>
      <c r="H581" s="14">
        <f t="shared" si="25"/>
        <v>62.666666666666671</v>
      </c>
      <c r="I581" s="14">
        <f t="shared" si="26"/>
        <v>62.666666666666671</v>
      </c>
      <c r="J581" s="14"/>
      <c r="K581" s="14" t="s">
        <v>70</v>
      </c>
    </row>
    <row r="582" spans="2:11" ht="13.2">
      <c r="B582" t="s">
        <v>458</v>
      </c>
      <c r="C582" t="s">
        <v>8</v>
      </c>
      <c r="D582" s="6">
        <v>2038</v>
      </c>
      <c r="E582" t="s">
        <v>475</v>
      </c>
      <c r="F582" s="9" t="s">
        <v>27</v>
      </c>
      <c r="G582" s="30" t="s">
        <v>297</v>
      </c>
      <c r="H582" s="14">
        <f t="shared" si="25"/>
        <v>62.666666666666671</v>
      </c>
      <c r="I582" s="14">
        <f t="shared" si="26"/>
        <v>62.666666666666671</v>
      </c>
      <c r="J582" s="14"/>
      <c r="K582" s="14" t="s">
        <v>70</v>
      </c>
    </row>
    <row r="583" spans="2:11" ht="13.2">
      <c r="B583" t="s">
        <v>458</v>
      </c>
      <c r="C583" t="s">
        <v>8</v>
      </c>
      <c r="D583" s="6">
        <v>2039</v>
      </c>
      <c r="E583" t="s">
        <v>475</v>
      </c>
      <c r="F583" s="9" t="s">
        <v>27</v>
      </c>
      <c r="G583" s="30" t="s">
        <v>297</v>
      </c>
      <c r="H583" s="14">
        <f t="shared" si="25"/>
        <v>62.666666666666671</v>
      </c>
      <c r="I583" s="14">
        <f t="shared" si="26"/>
        <v>62.666666666666671</v>
      </c>
      <c r="J583" s="14"/>
      <c r="K583" s="14" t="s">
        <v>70</v>
      </c>
    </row>
    <row r="584" spans="2:11" ht="13.2">
      <c r="B584" t="s">
        <v>458</v>
      </c>
      <c r="C584" t="s">
        <v>8</v>
      </c>
      <c r="D584" s="6">
        <v>2040</v>
      </c>
      <c r="E584" t="s">
        <v>475</v>
      </c>
      <c r="F584" s="9" t="s">
        <v>27</v>
      </c>
      <c r="G584" s="30" t="s">
        <v>297</v>
      </c>
      <c r="H584" s="14">
        <f t="shared" si="25"/>
        <v>62.666666666666671</v>
      </c>
      <c r="I584" s="14">
        <f t="shared" si="26"/>
        <v>62.666666666666671</v>
      </c>
      <c r="J584" s="14"/>
      <c r="K584" s="14" t="s">
        <v>70</v>
      </c>
    </row>
    <row r="585" spans="2:11" ht="13.2">
      <c r="B585" t="s">
        <v>458</v>
      </c>
      <c r="C585" t="s">
        <v>8</v>
      </c>
      <c r="D585" s="6">
        <v>2041</v>
      </c>
      <c r="E585" t="s">
        <v>475</v>
      </c>
      <c r="F585" s="9" t="s">
        <v>27</v>
      </c>
      <c r="G585" s="30" t="s">
        <v>297</v>
      </c>
      <c r="H585" s="14">
        <f t="shared" si="25"/>
        <v>62.666666666666671</v>
      </c>
      <c r="I585" s="14">
        <f t="shared" si="26"/>
        <v>62.666666666666671</v>
      </c>
      <c r="J585" s="14"/>
      <c r="K585" s="14" t="s">
        <v>70</v>
      </c>
    </row>
    <row r="586" spans="2:11" ht="13.2">
      <c r="B586" t="s">
        <v>458</v>
      </c>
      <c r="C586" t="s">
        <v>8</v>
      </c>
      <c r="D586" s="6">
        <v>2042</v>
      </c>
      <c r="E586" t="s">
        <v>475</v>
      </c>
      <c r="F586" s="9" t="s">
        <v>27</v>
      </c>
      <c r="G586" s="30" t="s">
        <v>297</v>
      </c>
      <c r="H586" s="14">
        <f t="shared" si="25"/>
        <v>62.666666666666671</v>
      </c>
      <c r="I586" s="14">
        <f t="shared" si="26"/>
        <v>62.666666666666671</v>
      </c>
      <c r="J586" s="14"/>
      <c r="K586" s="14" t="s">
        <v>70</v>
      </c>
    </row>
    <row r="587" spans="2:11" ht="13.2">
      <c r="B587" t="s">
        <v>458</v>
      </c>
      <c r="C587" t="s">
        <v>8</v>
      </c>
      <c r="D587" s="6">
        <v>2043</v>
      </c>
      <c r="E587" t="s">
        <v>475</v>
      </c>
      <c r="F587" s="9" t="s">
        <v>27</v>
      </c>
      <c r="G587" s="30" t="s">
        <v>297</v>
      </c>
      <c r="H587" s="14">
        <f t="shared" si="25"/>
        <v>62.666666666666671</v>
      </c>
      <c r="I587" s="14">
        <f t="shared" si="26"/>
        <v>62.666666666666671</v>
      </c>
      <c r="J587" s="14"/>
      <c r="K587" s="14" t="s">
        <v>70</v>
      </c>
    </row>
    <row r="588" spans="2:11" ht="13.2">
      <c r="B588" t="s">
        <v>458</v>
      </c>
      <c r="C588" t="s">
        <v>8</v>
      </c>
      <c r="D588" s="6">
        <v>2044</v>
      </c>
      <c r="E588" t="s">
        <v>475</v>
      </c>
      <c r="F588" s="9" t="s">
        <v>27</v>
      </c>
      <c r="G588" s="30" t="s">
        <v>297</v>
      </c>
      <c r="H588" s="14">
        <f t="shared" si="25"/>
        <v>62.666666666666671</v>
      </c>
      <c r="I588" s="14">
        <f t="shared" si="26"/>
        <v>62.666666666666671</v>
      </c>
      <c r="J588" s="14"/>
      <c r="K588" s="14" t="s">
        <v>70</v>
      </c>
    </row>
    <row r="589" spans="2:11" ht="13.2">
      <c r="B589" t="s">
        <v>458</v>
      </c>
      <c r="C589" t="s">
        <v>8</v>
      </c>
      <c r="D589" s="6">
        <v>2045</v>
      </c>
      <c r="E589" t="s">
        <v>475</v>
      </c>
      <c r="F589" s="9" t="s">
        <v>27</v>
      </c>
      <c r="G589" s="30" t="s">
        <v>297</v>
      </c>
      <c r="H589" s="14">
        <f t="shared" si="25"/>
        <v>62.666666666666671</v>
      </c>
      <c r="I589" s="14">
        <f t="shared" si="26"/>
        <v>62.666666666666671</v>
      </c>
      <c r="J589" s="14"/>
      <c r="K589" s="14" t="s">
        <v>70</v>
      </c>
    </row>
    <row r="590" spans="2:11" ht="13.2">
      <c r="B590" t="s">
        <v>458</v>
      </c>
      <c r="C590" t="s">
        <v>8</v>
      </c>
      <c r="D590" s="6">
        <v>2046</v>
      </c>
      <c r="E590" t="s">
        <v>475</v>
      </c>
      <c r="F590" s="9" t="s">
        <v>27</v>
      </c>
      <c r="G590" s="30" t="s">
        <v>297</v>
      </c>
      <c r="H590" s="14">
        <f t="shared" si="25"/>
        <v>62.666666666666671</v>
      </c>
      <c r="I590" s="14">
        <f t="shared" si="26"/>
        <v>62.666666666666671</v>
      </c>
      <c r="J590" s="14"/>
      <c r="K590" s="14" t="s">
        <v>70</v>
      </c>
    </row>
    <row r="591" spans="2:11" ht="13.2">
      <c r="B591" t="s">
        <v>458</v>
      </c>
      <c r="C591" t="s">
        <v>8</v>
      </c>
      <c r="D591" s="6">
        <v>2047</v>
      </c>
      <c r="E591" t="s">
        <v>475</v>
      </c>
      <c r="F591" s="9" t="s">
        <v>27</v>
      </c>
      <c r="G591" s="30" t="s">
        <v>297</v>
      </c>
      <c r="H591" s="14">
        <f t="shared" si="25"/>
        <v>62.666666666666671</v>
      </c>
      <c r="I591" s="14">
        <f t="shared" si="26"/>
        <v>62.666666666666671</v>
      </c>
      <c r="J591" s="14"/>
      <c r="K591" s="14" t="s">
        <v>70</v>
      </c>
    </row>
    <row r="592" spans="2:11" ht="13.2">
      <c r="B592" t="s">
        <v>458</v>
      </c>
      <c r="C592" t="s">
        <v>8</v>
      </c>
      <c r="D592" s="6">
        <v>2048</v>
      </c>
      <c r="E592" t="s">
        <v>475</v>
      </c>
      <c r="F592" s="9" t="s">
        <v>27</v>
      </c>
      <c r="G592" s="30" t="s">
        <v>297</v>
      </c>
      <c r="H592" s="14">
        <f t="shared" si="25"/>
        <v>62.666666666666671</v>
      </c>
      <c r="I592" s="14">
        <f t="shared" si="26"/>
        <v>62.666666666666671</v>
      </c>
      <c r="J592" s="14"/>
      <c r="K592" s="14" t="s">
        <v>70</v>
      </c>
    </row>
    <row r="593" spans="2:11" ht="13.2">
      <c r="B593" t="s">
        <v>458</v>
      </c>
      <c r="C593" t="s">
        <v>8</v>
      </c>
      <c r="D593" s="6">
        <v>2049</v>
      </c>
      <c r="E593" t="s">
        <v>475</v>
      </c>
      <c r="F593" s="9" t="s">
        <v>27</v>
      </c>
      <c r="G593" s="30" t="s">
        <v>297</v>
      </c>
      <c r="H593" s="14">
        <f t="shared" si="25"/>
        <v>62.666666666666671</v>
      </c>
      <c r="I593" s="14">
        <f t="shared" si="26"/>
        <v>62.666666666666671</v>
      </c>
      <c r="J593" s="14"/>
      <c r="K593" s="14" t="s">
        <v>70</v>
      </c>
    </row>
    <row r="594" spans="2:11" ht="13.2">
      <c r="B594" s="7" t="s">
        <v>458</v>
      </c>
      <c r="C594" s="7" t="s">
        <v>8</v>
      </c>
      <c r="D594" s="8">
        <v>2050</v>
      </c>
      <c r="E594" s="7" t="s">
        <v>475</v>
      </c>
      <c r="F594" s="7" t="s">
        <v>27</v>
      </c>
      <c r="G594" s="35" t="s">
        <v>297</v>
      </c>
      <c r="H594" s="284">
        <f t="shared" si="25"/>
        <v>62.666666666666671</v>
      </c>
      <c r="I594" s="284">
        <f t="shared" si="26"/>
        <v>62.666666666666671</v>
      </c>
      <c r="J594" s="21"/>
      <c r="K594" s="14" t="s">
        <v>70</v>
      </c>
    </row>
  </sheetData>
  <mergeCells count="1">
    <mergeCell ref="B5:H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2:X189"/>
  <sheetViews>
    <sheetView topLeftCell="A10" workbookViewId="0">
      <selection activeCell="F56" sqref="F56"/>
    </sheetView>
  </sheetViews>
  <sheetFormatPr defaultRowHeight="12.6"/>
  <cols>
    <col min="1" max="1" width="3.88671875" customWidth="1"/>
    <col min="2" max="3" width="14.33203125" customWidth="1"/>
    <col min="4" max="5" width="17.5546875" bestFit="1" customWidth="1"/>
    <col min="6" max="6" width="16.44140625" bestFit="1" customWidth="1"/>
    <col min="7" max="7" width="6.44140625" bestFit="1" customWidth="1"/>
    <col min="8" max="8" width="8.44140625" customWidth="1"/>
    <col min="9" max="9" width="10.6640625" bestFit="1" customWidth="1"/>
    <col min="12" max="14" width="22.44140625" customWidth="1"/>
    <col min="15" max="15" width="14.109375" bestFit="1" customWidth="1"/>
    <col min="18" max="18" width="13.44140625" bestFit="1" customWidth="1"/>
    <col min="19" max="19" width="13.44140625" customWidth="1"/>
    <col min="20" max="20" width="13.109375" bestFit="1" customWidth="1"/>
  </cols>
  <sheetData>
    <row r="2" spans="2:24" ht="23.4">
      <c r="B2" s="25" t="s">
        <v>108</v>
      </c>
    </row>
    <row r="4" spans="2:24" ht="22.8">
      <c r="B4" s="31" t="s">
        <v>66</v>
      </c>
    </row>
    <row r="5" spans="2:24">
      <c r="B5" s="32" t="s">
        <v>87</v>
      </c>
      <c r="C5" s="32"/>
      <c r="D5" s="32"/>
      <c r="E5" s="32"/>
      <c r="F5" s="32"/>
      <c r="G5" s="40"/>
      <c r="H5" s="40"/>
      <c r="I5" s="40"/>
      <c r="J5" s="40"/>
      <c r="K5" s="40"/>
    </row>
    <row r="6" spans="2:24">
      <c r="B6" s="32">
        <v>0.72</v>
      </c>
      <c r="C6" s="32" t="s">
        <v>85</v>
      </c>
      <c r="D6" s="32"/>
      <c r="E6" s="32"/>
      <c r="F6" s="32"/>
      <c r="G6" s="40"/>
      <c r="H6" s="40"/>
      <c r="I6" s="40"/>
      <c r="J6" s="40"/>
      <c r="K6" s="40"/>
    </row>
    <row r="7" spans="2:24">
      <c r="B7" s="32">
        <f>1-B6</f>
        <v>0.28000000000000003</v>
      </c>
      <c r="C7" s="32" t="s">
        <v>86</v>
      </c>
      <c r="D7" s="32"/>
      <c r="E7" s="32"/>
      <c r="F7" s="32"/>
      <c r="G7" s="40"/>
      <c r="H7" s="40"/>
      <c r="I7" s="40"/>
      <c r="J7" s="40"/>
      <c r="K7" s="40"/>
    </row>
    <row r="8" spans="2:24">
      <c r="B8" s="32" t="s">
        <v>83</v>
      </c>
      <c r="C8" s="33">
        <f>1/1.2</f>
        <v>0.83333333333333337</v>
      </c>
      <c r="D8" s="32"/>
      <c r="E8" s="32"/>
      <c r="F8" s="32"/>
      <c r="G8" s="40"/>
      <c r="H8" s="40"/>
      <c r="I8" s="40"/>
      <c r="J8" s="40"/>
      <c r="K8" s="40"/>
    </row>
    <row r="9" spans="2:24">
      <c r="B9" s="32"/>
      <c r="C9" s="32"/>
      <c r="D9" s="32"/>
      <c r="E9" s="32"/>
      <c r="F9" s="32"/>
      <c r="G9" s="40"/>
      <c r="H9" s="40"/>
      <c r="I9" s="40"/>
      <c r="J9" s="40"/>
      <c r="K9" s="40"/>
    </row>
    <row r="10" spans="2:24">
      <c r="B10" s="36">
        <f>B6*C8</f>
        <v>0.6</v>
      </c>
      <c r="C10" s="32" t="s">
        <v>68</v>
      </c>
      <c r="D10" s="32"/>
      <c r="E10" s="32"/>
      <c r="F10" s="32"/>
      <c r="G10" s="40"/>
      <c r="H10" s="40"/>
      <c r="I10" s="40"/>
      <c r="J10" s="40"/>
      <c r="K10" s="40"/>
    </row>
    <row r="11" spans="2:24">
      <c r="C11" s="32" t="s">
        <v>185</v>
      </c>
    </row>
    <row r="14" spans="2:24" ht="14.4">
      <c r="B14" s="2" t="s">
        <v>459</v>
      </c>
      <c r="C14" s="1"/>
      <c r="D14" s="1"/>
      <c r="E14" s="1"/>
      <c r="F14" s="1"/>
      <c r="G14" s="1"/>
      <c r="H14" s="1"/>
      <c r="O14" s="2"/>
      <c r="P14" s="1"/>
      <c r="Q14" s="1"/>
      <c r="R14" s="1"/>
      <c r="S14" s="1"/>
    </row>
    <row r="15" spans="2:24" ht="13.8" thickBot="1">
      <c r="B15" s="3" t="s">
        <v>4</v>
      </c>
      <c r="C15" s="3" t="s">
        <v>5</v>
      </c>
      <c r="D15" s="3" t="s">
        <v>1</v>
      </c>
      <c r="E15" s="5" t="s">
        <v>7</v>
      </c>
      <c r="F15" s="5" t="s">
        <v>6</v>
      </c>
      <c r="G15" s="18" t="s">
        <v>43</v>
      </c>
      <c r="H15" s="4" t="s">
        <v>432</v>
      </c>
      <c r="I15" s="275" t="s">
        <v>433</v>
      </c>
      <c r="J15" s="275"/>
      <c r="L15" s="4" t="s">
        <v>150</v>
      </c>
      <c r="O15" s="3" t="s">
        <v>4</v>
      </c>
      <c r="P15" s="3" t="s">
        <v>5</v>
      </c>
      <c r="Q15" s="3" t="s">
        <v>1</v>
      </c>
      <c r="R15" s="5" t="s">
        <v>7</v>
      </c>
      <c r="S15" s="5" t="s">
        <v>6</v>
      </c>
      <c r="T15" s="18" t="s">
        <v>43</v>
      </c>
      <c r="U15" s="4" t="s">
        <v>432</v>
      </c>
      <c r="V15" s="275" t="s">
        <v>433</v>
      </c>
      <c r="X15" s="4" t="s">
        <v>150</v>
      </c>
    </row>
    <row r="16" spans="2:24" ht="13.8">
      <c r="B16" t="s">
        <v>458</v>
      </c>
      <c r="C16" t="s">
        <v>8</v>
      </c>
      <c r="D16">
        <v>2010</v>
      </c>
      <c r="E16" s="282" t="s">
        <v>163</v>
      </c>
      <c r="F16" s="53" t="s">
        <v>72</v>
      </c>
      <c r="G16" s="30" t="s">
        <v>297</v>
      </c>
      <c r="H16" s="38">
        <f>HLOOKUP(L16,FuelTax2,D16-2006,FALSE)*$B$10-M16</f>
        <v>-10.044166666666666</v>
      </c>
      <c r="I16" s="38">
        <f t="shared" ref="I16:I50" si="0">H16</f>
        <v>-10.044166666666666</v>
      </c>
      <c r="J16" s="38"/>
      <c r="L16" t="str">
        <f t="shared" ref="L16:L50" si="1">IF(LEFT(F16,1)="E",F16,"ELC"&amp;F16)</f>
        <v>ELCWPE</v>
      </c>
      <c r="M16">
        <f>INDEX('Sub_CHP-Bio_Old'!$I$18:$I$154,MATCH('TAX_CHP_MultiFuel-NEW'!E16,'Sub_CHP-Bio_Old'!$F$18:$F$154,0))</f>
        <v>10.044166666666666</v>
      </c>
      <c r="O16" t="s">
        <v>458</v>
      </c>
      <c r="P16" t="s">
        <v>8</v>
      </c>
      <c r="Q16">
        <v>2050</v>
      </c>
      <c r="R16" s="53" t="s">
        <v>163</v>
      </c>
      <c r="S16" s="53" t="s">
        <v>72</v>
      </c>
      <c r="T16" s="30" t="s">
        <v>297</v>
      </c>
      <c r="U16" s="38">
        <f>HLOOKUP(X16,FuelTax2,Q16-2006,FALSE)*$B$10</f>
        <v>0</v>
      </c>
      <c r="V16" s="38">
        <f>U16</f>
        <v>0</v>
      </c>
      <c r="X16" t="str">
        <f t="shared" ref="X16:X55" si="2">IF(LEFT(S16,1)="E",S16,"ELC"&amp;S16)</f>
        <v>ELCWPE</v>
      </c>
    </row>
    <row r="17" spans="2:24" ht="13.8">
      <c r="B17" t="s">
        <v>458</v>
      </c>
      <c r="C17" t="s">
        <v>8</v>
      </c>
      <c r="D17">
        <v>2010</v>
      </c>
      <c r="E17" s="282" t="s">
        <v>163</v>
      </c>
      <c r="F17" s="53" t="s">
        <v>52</v>
      </c>
      <c r="G17" s="30" t="s">
        <v>297</v>
      </c>
      <c r="H17" s="38">
        <f t="shared" ref="H17:H24" si="3">HLOOKUP(L17,FuelTax2,D17-2006,FALSE)*$B$10-M17</f>
        <v>-10.044166666666666</v>
      </c>
      <c r="I17" s="38">
        <f t="shared" si="0"/>
        <v>-10.044166666666666</v>
      </c>
      <c r="J17" s="38"/>
      <c r="L17" t="str">
        <f t="shared" si="1"/>
        <v>ELCSTR</v>
      </c>
      <c r="M17">
        <f>INDEX('Sub_CHP-Bio_Old'!$I$18:$I$154,MATCH('TAX_CHP_MultiFuel-NEW'!E17,'Sub_CHP-Bio_Old'!$F$18:$F$154,0))</f>
        <v>10.044166666666666</v>
      </c>
      <c r="O17" t="s">
        <v>458</v>
      </c>
      <c r="P17" t="s">
        <v>8</v>
      </c>
      <c r="Q17">
        <v>2050</v>
      </c>
      <c r="R17" s="53" t="s">
        <v>163</v>
      </c>
      <c r="S17" s="53" t="s">
        <v>52</v>
      </c>
      <c r="T17" s="30" t="s">
        <v>297</v>
      </c>
      <c r="U17" s="38">
        <f t="shared" ref="U17:U55" si="4">HLOOKUP(X17,FuelTax2,Q17-2006,FALSE)*$B$10</f>
        <v>0</v>
      </c>
      <c r="V17" s="38">
        <f t="shared" ref="V17:V55" si="5">U17</f>
        <v>0</v>
      </c>
      <c r="X17" t="str">
        <f t="shared" si="2"/>
        <v>ELCSTR</v>
      </c>
    </row>
    <row r="18" spans="2:24" ht="13.8">
      <c r="B18" t="s">
        <v>458</v>
      </c>
      <c r="C18" t="s">
        <v>8</v>
      </c>
      <c r="D18">
        <v>2010</v>
      </c>
      <c r="E18" s="282" t="s">
        <v>163</v>
      </c>
      <c r="F18" s="53" t="s">
        <v>51</v>
      </c>
      <c r="G18" s="30" t="s">
        <v>297</v>
      </c>
      <c r="H18" s="38">
        <f t="shared" si="3"/>
        <v>35.355480573398125</v>
      </c>
      <c r="I18" s="38">
        <f t="shared" si="0"/>
        <v>35.355480573398125</v>
      </c>
      <c r="J18" s="38"/>
      <c r="L18" t="str">
        <f t="shared" si="1"/>
        <v>ELCBGA</v>
      </c>
      <c r="O18" t="s">
        <v>458</v>
      </c>
      <c r="P18" t="s">
        <v>8</v>
      </c>
      <c r="Q18">
        <v>2050</v>
      </c>
      <c r="R18" s="53" t="s">
        <v>163</v>
      </c>
      <c r="S18" s="53" t="s">
        <v>51</v>
      </c>
      <c r="T18" s="30" t="s">
        <v>297</v>
      </c>
      <c r="U18" s="38">
        <f t="shared" si="4"/>
        <v>32.94</v>
      </c>
      <c r="V18" s="38">
        <f t="shared" si="5"/>
        <v>32.94</v>
      </c>
      <c r="X18" t="str">
        <f t="shared" si="2"/>
        <v>ELCBGA</v>
      </c>
    </row>
    <row r="19" spans="2:24" ht="13.8">
      <c r="B19" t="s">
        <v>458</v>
      </c>
      <c r="C19" t="s">
        <v>8</v>
      </c>
      <c r="D19">
        <v>2010</v>
      </c>
      <c r="E19" s="282" t="s">
        <v>164</v>
      </c>
      <c r="F19" s="53" t="s">
        <v>101</v>
      </c>
      <c r="G19" s="30" t="s">
        <v>297</v>
      </c>
      <c r="H19" s="38">
        <f>HLOOKUP(L19,FuelTax2,D19-2006,FALSE)*$B$10-M19</f>
        <v>35.729612642957861</v>
      </c>
      <c r="I19" s="38">
        <f t="shared" si="0"/>
        <v>35.729612642957861</v>
      </c>
      <c r="J19" s="38"/>
      <c r="L19" t="str">
        <f t="shared" si="1"/>
        <v>ELCCOA</v>
      </c>
      <c r="O19" t="s">
        <v>458</v>
      </c>
      <c r="P19" t="s">
        <v>8</v>
      </c>
      <c r="Q19">
        <v>2050</v>
      </c>
      <c r="R19" s="53" t="s">
        <v>164</v>
      </c>
      <c r="S19" s="53" t="s">
        <v>101</v>
      </c>
      <c r="T19" s="30" t="s">
        <v>297</v>
      </c>
      <c r="U19" s="38">
        <f t="shared" si="4"/>
        <v>32.94</v>
      </c>
      <c r="V19" s="38">
        <f t="shared" si="5"/>
        <v>32.94</v>
      </c>
      <c r="X19" t="str">
        <f t="shared" si="2"/>
        <v>ELCCOA</v>
      </c>
    </row>
    <row r="20" spans="2:24" ht="13.8">
      <c r="B20" t="s">
        <v>458</v>
      </c>
      <c r="C20" t="s">
        <v>8</v>
      </c>
      <c r="D20">
        <v>2010</v>
      </c>
      <c r="E20" s="282" t="s">
        <v>164</v>
      </c>
      <c r="F20" s="53" t="s">
        <v>72</v>
      </c>
      <c r="G20" s="30" t="s">
        <v>297</v>
      </c>
      <c r="H20" s="38">
        <f t="shared" si="3"/>
        <v>-4.8104166666666668</v>
      </c>
      <c r="I20" s="38">
        <f t="shared" si="0"/>
        <v>-4.8104166666666668</v>
      </c>
      <c r="J20" s="38"/>
      <c r="L20" t="str">
        <f t="shared" si="1"/>
        <v>ELCWPE</v>
      </c>
      <c r="M20">
        <f>INDEX('Sub_CHP-Bio_Old'!$I$18:$I$154,MATCH('TAX_CHP_MultiFuel-NEW'!E20,'Sub_CHP-Bio_Old'!$F$18:$F$154,0))</f>
        <v>4.8104166666666668</v>
      </c>
      <c r="O20" t="s">
        <v>458</v>
      </c>
      <c r="P20" t="s">
        <v>8</v>
      </c>
      <c r="Q20">
        <v>2050</v>
      </c>
      <c r="R20" s="53" t="s">
        <v>164</v>
      </c>
      <c r="S20" s="53" t="s">
        <v>72</v>
      </c>
      <c r="T20" s="30" t="s">
        <v>297</v>
      </c>
      <c r="U20" s="38">
        <f t="shared" si="4"/>
        <v>0</v>
      </c>
      <c r="V20" s="38">
        <f t="shared" si="5"/>
        <v>0</v>
      </c>
      <c r="X20" t="str">
        <f t="shared" si="2"/>
        <v>ELCWPE</v>
      </c>
    </row>
    <row r="21" spans="2:24" ht="13.8">
      <c r="B21" t="s">
        <v>458</v>
      </c>
      <c r="C21" t="s">
        <v>8</v>
      </c>
      <c r="D21">
        <v>2010</v>
      </c>
      <c r="E21" s="282" t="s">
        <v>164</v>
      </c>
      <c r="F21" s="53" t="s">
        <v>132</v>
      </c>
      <c r="G21" s="30" t="s">
        <v>297</v>
      </c>
      <c r="H21" s="38">
        <f>HLOOKUP(L21,FuelTax2,D21-2006,FALSE)*$B$10-M21</f>
        <v>-4.8104166666666668</v>
      </c>
      <c r="I21" s="38">
        <f t="shared" si="0"/>
        <v>-4.8104166666666668</v>
      </c>
      <c r="J21" s="38"/>
      <c r="L21" t="str">
        <f t="shared" si="1"/>
        <v>ELCWCH</v>
      </c>
      <c r="M21">
        <f>INDEX('Sub_CHP-Bio_Old'!$I$18:$I$154,MATCH('TAX_CHP_MultiFuel-NEW'!E21,'Sub_CHP-Bio_Old'!$F$18:$F$154,0))</f>
        <v>4.8104166666666668</v>
      </c>
      <c r="O21" t="s">
        <v>458</v>
      </c>
      <c r="P21" t="s">
        <v>8</v>
      </c>
      <c r="Q21">
        <v>2050</v>
      </c>
      <c r="R21" s="53" t="s">
        <v>164</v>
      </c>
      <c r="S21" s="53" t="s">
        <v>132</v>
      </c>
      <c r="T21" s="30" t="s">
        <v>297</v>
      </c>
      <c r="U21" s="38">
        <f t="shared" si="4"/>
        <v>0</v>
      </c>
      <c r="V21" s="38">
        <f t="shared" si="5"/>
        <v>0</v>
      </c>
      <c r="X21" t="str">
        <f t="shared" si="2"/>
        <v>ELCWCH</v>
      </c>
    </row>
    <row r="22" spans="2:24" ht="13.8">
      <c r="B22" t="s">
        <v>458</v>
      </c>
      <c r="C22" t="s">
        <v>8</v>
      </c>
      <c r="D22">
        <v>2010</v>
      </c>
      <c r="E22" s="282" t="s">
        <v>165</v>
      </c>
      <c r="F22" s="53" t="s">
        <v>11</v>
      </c>
      <c r="G22" s="30" t="s">
        <v>297</v>
      </c>
      <c r="H22" s="38">
        <f t="shared" si="3"/>
        <v>11.508513238289206</v>
      </c>
      <c r="I22" s="38">
        <f t="shared" si="0"/>
        <v>11.508513238289206</v>
      </c>
      <c r="J22" s="38"/>
      <c r="L22" t="str">
        <f t="shared" si="1"/>
        <v>ELCWST</v>
      </c>
      <c r="O22" t="s">
        <v>458</v>
      </c>
      <c r="P22" t="s">
        <v>8</v>
      </c>
      <c r="Q22">
        <v>2050</v>
      </c>
      <c r="R22" s="53" t="s">
        <v>165</v>
      </c>
      <c r="S22" s="53" t="s">
        <v>11</v>
      </c>
      <c r="T22" s="30" t="s">
        <v>297</v>
      </c>
      <c r="U22" s="38">
        <f t="shared" si="4"/>
        <v>19.197295081967212</v>
      </c>
      <c r="V22" s="38">
        <f t="shared" si="5"/>
        <v>19.197295081967212</v>
      </c>
      <c r="X22" t="str">
        <f t="shared" si="2"/>
        <v>ELCWST</v>
      </c>
    </row>
    <row r="23" spans="2:24" ht="13.8">
      <c r="B23" t="s">
        <v>458</v>
      </c>
      <c r="C23" t="s">
        <v>8</v>
      </c>
      <c r="D23">
        <v>2010</v>
      </c>
      <c r="E23" s="282" t="s">
        <v>166</v>
      </c>
      <c r="F23" s="53" t="s">
        <v>11</v>
      </c>
      <c r="G23" s="30" t="s">
        <v>297</v>
      </c>
      <c r="H23" s="38">
        <f t="shared" si="3"/>
        <v>11.508513238289206</v>
      </c>
      <c r="I23" s="38">
        <f t="shared" si="0"/>
        <v>11.508513238289206</v>
      </c>
      <c r="J23" s="38"/>
      <c r="L23" t="str">
        <f t="shared" si="1"/>
        <v>ELCWST</v>
      </c>
      <c r="O23" t="s">
        <v>458</v>
      </c>
      <c r="P23" t="s">
        <v>8</v>
      </c>
      <c r="Q23">
        <v>2050</v>
      </c>
      <c r="R23" s="53" t="s">
        <v>166</v>
      </c>
      <c r="S23" s="53" t="s">
        <v>11</v>
      </c>
      <c r="T23" s="30" t="s">
        <v>297</v>
      </c>
      <c r="U23" s="38">
        <f t="shared" si="4"/>
        <v>19.197295081967212</v>
      </c>
      <c r="V23" s="38">
        <f t="shared" si="5"/>
        <v>19.197295081967212</v>
      </c>
      <c r="X23" t="str">
        <f t="shared" si="2"/>
        <v>ELCWST</v>
      </c>
    </row>
    <row r="24" spans="2:24" ht="13.8">
      <c r="B24" t="s">
        <v>458</v>
      </c>
      <c r="C24" t="s">
        <v>8</v>
      </c>
      <c r="D24">
        <v>2010</v>
      </c>
      <c r="E24" s="282" t="s">
        <v>166</v>
      </c>
      <c r="F24" s="53" t="s">
        <v>52</v>
      </c>
      <c r="G24" s="30" t="s">
        <v>297</v>
      </c>
      <c r="H24" s="38">
        <f t="shared" si="3"/>
        <v>-5.915</v>
      </c>
      <c r="I24" s="38">
        <f t="shared" si="0"/>
        <v>-5.915</v>
      </c>
      <c r="J24" s="38"/>
      <c r="L24" t="str">
        <f t="shared" si="1"/>
        <v>ELCSTR</v>
      </c>
      <c r="M24">
        <f>INDEX('Sub_CHP-Bio_Old'!$I$18:$I$154,MATCH('TAX_CHP_MultiFuel-NEW'!E24,'Sub_CHP-Bio_Old'!$F$18:$F$154,0))</f>
        <v>5.915</v>
      </c>
      <c r="O24" t="s">
        <v>458</v>
      </c>
      <c r="P24" t="s">
        <v>8</v>
      </c>
      <c r="Q24">
        <v>2050</v>
      </c>
      <c r="R24" s="53" t="s">
        <v>166</v>
      </c>
      <c r="S24" s="53" t="s">
        <v>52</v>
      </c>
      <c r="T24" s="30" t="s">
        <v>297</v>
      </c>
      <c r="U24" s="38">
        <f t="shared" si="4"/>
        <v>0</v>
      </c>
      <c r="V24" s="38">
        <f t="shared" si="5"/>
        <v>0</v>
      </c>
      <c r="X24" t="str">
        <f t="shared" si="2"/>
        <v>ELCSTR</v>
      </c>
    </row>
    <row r="25" spans="2:24" ht="13.8">
      <c r="B25" t="s">
        <v>458</v>
      </c>
      <c r="C25" t="s">
        <v>8</v>
      </c>
      <c r="D25">
        <v>2010</v>
      </c>
      <c r="E25" s="287" t="s">
        <v>168</v>
      </c>
      <c r="F25" s="53" t="s">
        <v>70</v>
      </c>
      <c r="G25" s="30" t="s">
        <v>297</v>
      </c>
      <c r="H25" s="38">
        <f t="shared" ref="H25:H56" si="6">HLOOKUP(L25,FuelTax2,D25-2006,FALSE)*$B$10-M25</f>
        <v>43.058189435406931</v>
      </c>
      <c r="I25" s="38">
        <f t="shared" ref="I25" si="7">H25</f>
        <v>43.058189435406931</v>
      </c>
      <c r="J25" s="38"/>
      <c r="L25" t="str">
        <f t="shared" si="1"/>
        <v>ELCDSL</v>
      </c>
      <c r="O25" t="s">
        <v>458</v>
      </c>
      <c r="P25" t="s">
        <v>8</v>
      </c>
      <c r="Q25">
        <v>2050</v>
      </c>
      <c r="R25" s="53" t="s">
        <v>168</v>
      </c>
      <c r="S25" s="53" t="s">
        <v>9</v>
      </c>
      <c r="T25" s="30" t="s">
        <v>297</v>
      </c>
      <c r="U25" s="38">
        <f t="shared" ref="U25" si="8">HLOOKUP(X25,FuelTax2,Q25-2006,FALSE)*$B$10</f>
        <v>32.94</v>
      </c>
      <c r="V25" s="38">
        <f t="shared" ref="V25" si="9">U25</f>
        <v>32.94</v>
      </c>
      <c r="X25" t="str">
        <f t="shared" ref="X25" si="10">IF(LEFT(S25,1)="E",S25,"ELC"&amp;S25)</f>
        <v>ELCNGA</v>
      </c>
    </row>
    <row r="26" spans="2:24" ht="13.8">
      <c r="B26" t="s">
        <v>458</v>
      </c>
      <c r="C26" t="s">
        <v>8</v>
      </c>
      <c r="D26">
        <v>2010</v>
      </c>
      <c r="E26" s="287" t="s">
        <v>168</v>
      </c>
      <c r="F26" s="53" t="s">
        <v>10</v>
      </c>
      <c r="G26" s="30" t="s">
        <v>297</v>
      </c>
      <c r="H26" s="38">
        <f t="shared" si="6"/>
        <v>33.461977178447917</v>
      </c>
      <c r="I26" s="38">
        <f t="shared" ref="I26" si="11">H26</f>
        <v>33.461977178447917</v>
      </c>
      <c r="J26" s="38"/>
      <c r="L26" t="str">
        <f t="shared" ref="L26" si="12">IF(LEFT(F26,1)="E",F26,"ELC"&amp;F26)</f>
        <v>ELCHFO</v>
      </c>
      <c r="O26" t="s">
        <v>458</v>
      </c>
      <c r="P26" t="s">
        <v>8</v>
      </c>
      <c r="Q26">
        <v>2050</v>
      </c>
      <c r="R26" s="53" t="s">
        <v>168</v>
      </c>
      <c r="S26" s="53" t="s">
        <v>9</v>
      </c>
      <c r="T26" s="30" t="s">
        <v>297</v>
      </c>
      <c r="U26" s="38">
        <f t="shared" ref="U26" si="13">HLOOKUP(X26,FuelTax2,Q26-2006,FALSE)*$B$10</f>
        <v>32.94</v>
      </c>
      <c r="V26" s="38">
        <f t="shared" ref="V26" si="14">U26</f>
        <v>32.94</v>
      </c>
      <c r="X26" t="str">
        <f t="shared" ref="X26" si="15">IF(LEFT(S26,1)="E",S26,"ELC"&amp;S26)</f>
        <v>ELCNGA</v>
      </c>
    </row>
    <row r="27" spans="2:24" ht="13.8">
      <c r="B27" t="s">
        <v>458</v>
      </c>
      <c r="C27" t="s">
        <v>8</v>
      </c>
      <c r="D27">
        <v>2010</v>
      </c>
      <c r="E27" s="287" t="s">
        <v>168</v>
      </c>
      <c r="F27" s="53" t="s">
        <v>9</v>
      </c>
      <c r="G27" s="30" t="s">
        <v>297</v>
      </c>
      <c r="H27" s="38">
        <f t="shared" si="6"/>
        <v>35.355480573398125</v>
      </c>
      <c r="I27" s="38">
        <f t="shared" si="0"/>
        <v>35.355480573398125</v>
      </c>
      <c r="J27" s="38"/>
      <c r="L27" t="str">
        <f t="shared" si="1"/>
        <v>ELCNGA</v>
      </c>
      <c r="O27" t="s">
        <v>458</v>
      </c>
      <c r="P27" t="s">
        <v>8</v>
      </c>
      <c r="Q27">
        <v>2050</v>
      </c>
      <c r="R27" s="53" t="s">
        <v>168</v>
      </c>
      <c r="S27" s="53" t="s">
        <v>9</v>
      </c>
      <c r="T27" s="30" t="s">
        <v>297</v>
      </c>
      <c r="U27" s="38">
        <f t="shared" si="4"/>
        <v>32.94</v>
      </c>
      <c r="V27" s="38">
        <f t="shared" si="5"/>
        <v>32.94</v>
      </c>
      <c r="X27" t="str">
        <f t="shared" si="2"/>
        <v>ELCNGA</v>
      </c>
    </row>
    <row r="28" spans="2:24" ht="13.8">
      <c r="B28" t="s">
        <v>458</v>
      </c>
      <c r="C28" t="s">
        <v>8</v>
      </c>
      <c r="D28">
        <v>2010</v>
      </c>
      <c r="E28" s="287" t="s">
        <v>168</v>
      </c>
      <c r="F28" s="53" t="s">
        <v>131</v>
      </c>
      <c r="G28" s="30" t="s">
        <v>297</v>
      </c>
      <c r="H28" s="38">
        <f t="shared" si="6"/>
        <v>35.355480573398125</v>
      </c>
      <c r="I28" s="38">
        <f t="shared" si="0"/>
        <v>35.355480573398125</v>
      </c>
      <c r="J28" s="38"/>
      <c r="L28" t="str">
        <f t="shared" si="1"/>
        <v>ELCSNG</v>
      </c>
      <c r="O28" t="s">
        <v>458</v>
      </c>
      <c r="P28" t="s">
        <v>8</v>
      </c>
      <c r="Q28">
        <v>2050</v>
      </c>
      <c r="R28" s="53" t="s">
        <v>168</v>
      </c>
      <c r="S28" s="53" t="s">
        <v>131</v>
      </c>
      <c r="T28" s="30" t="s">
        <v>297</v>
      </c>
      <c r="U28" s="38">
        <f t="shared" si="4"/>
        <v>32.94</v>
      </c>
      <c r="V28" s="38">
        <f t="shared" si="5"/>
        <v>32.94</v>
      </c>
      <c r="X28" t="str">
        <f t="shared" si="2"/>
        <v>ELCSNG</v>
      </c>
    </row>
    <row r="29" spans="2:24" ht="13.8">
      <c r="B29" t="s">
        <v>458</v>
      </c>
      <c r="C29" t="s">
        <v>8</v>
      </c>
      <c r="D29">
        <v>2010</v>
      </c>
      <c r="E29" s="287" t="s">
        <v>169</v>
      </c>
      <c r="F29" s="53" t="s">
        <v>101</v>
      </c>
      <c r="G29" s="30" t="s">
        <v>297</v>
      </c>
      <c r="H29" s="38">
        <f t="shared" si="6"/>
        <v>35.729612642957861</v>
      </c>
      <c r="I29" s="38">
        <f t="shared" si="0"/>
        <v>35.729612642957861</v>
      </c>
      <c r="J29" s="38"/>
      <c r="L29" t="str">
        <f t="shared" si="1"/>
        <v>ELCCOA</v>
      </c>
      <c r="O29" t="s">
        <v>458</v>
      </c>
      <c r="P29" t="s">
        <v>8</v>
      </c>
      <c r="Q29">
        <v>2050</v>
      </c>
      <c r="R29" s="53" t="s">
        <v>169</v>
      </c>
      <c r="S29" s="53" t="s">
        <v>101</v>
      </c>
      <c r="T29" s="30" t="s">
        <v>297</v>
      </c>
      <c r="U29" s="38">
        <f t="shared" si="4"/>
        <v>32.94</v>
      </c>
      <c r="V29" s="38">
        <f t="shared" si="5"/>
        <v>32.94</v>
      </c>
      <c r="X29" t="str">
        <f t="shared" si="2"/>
        <v>ELCCOA</v>
      </c>
    </row>
    <row r="30" spans="2:24" ht="13.8">
      <c r="B30" t="s">
        <v>458</v>
      </c>
      <c r="C30" t="s">
        <v>8</v>
      </c>
      <c r="D30">
        <v>2010</v>
      </c>
      <c r="E30" s="287" t="s">
        <v>169</v>
      </c>
      <c r="F30" s="53" t="s">
        <v>52</v>
      </c>
      <c r="G30" s="30" t="s">
        <v>297</v>
      </c>
      <c r="H30" s="38">
        <f t="shared" si="6"/>
        <v>-10.314583333333333</v>
      </c>
      <c r="I30" s="38">
        <f t="shared" si="0"/>
        <v>-10.314583333333333</v>
      </c>
      <c r="J30" s="38"/>
      <c r="L30" t="str">
        <f t="shared" si="1"/>
        <v>ELCSTR</v>
      </c>
      <c r="M30">
        <f>INDEX('Sub_CHP-Bio_Old'!$I$18:$I$154,MATCH('TAX_CHP_MultiFuel-NEW'!E30,'Sub_CHP-Bio_Old'!$F$18:$F$154,0))</f>
        <v>10.314583333333333</v>
      </c>
      <c r="O30" t="s">
        <v>458</v>
      </c>
      <c r="P30" t="s">
        <v>8</v>
      </c>
      <c r="Q30">
        <v>2050</v>
      </c>
      <c r="R30" s="53" t="s">
        <v>169</v>
      </c>
      <c r="S30" s="53" t="s">
        <v>52</v>
      </c>
      <c r="T30" s="30" t="s">
        <v>297</v>
      </c>
      <c r="U30" s="38">
        <f t="shared" si="4"/>
        <v>0</v>
      </c>
      <c r="V30" s="38">
        <f t="shared" si="5"/>
        <v>0</v>
      </c>
      <c r="X30" t="str">
        <f t="shared" si="2"/>
        <v>ELCSTR</v>
      </c>
    </row>
    <row r="31" spans="2:24" ht="13.8">
      <c r="B31" t="s">
        <v>458</v>
      </c>
      <c r="C31" t="s">
        <v>8</v>
      </c>
      <c r="D31">
        <v>2010</v>
      </c>
      <c r="E31" s="287" t="s">
        <v>171</v>
      </c>
      <c r="F31" s="53" t="s">
        <v>72</v>
      </c>
      <c r="G31" s="30" t="s">
        <v>297</v>
      </c>
      <c r="H31" s="38">
        <f t="shared" si="6"/>
        <v>-7.3033333333333337</v>
      </c>
      <c r="I31" s="38">
        <f t="shared" si="0"/>
        <v>-7.3033333333333337</v>
      </c>
      <c r="J31" s="38"/>
      <c r="L31" t="str">
        <f t="shared" si="1"/>
        <v>ELCWPE</v>
      </c>
      <c r="M31">
        <f>INDEX('Sub_CHP-Bio_Old'!$I$18:$I$154,MATCH('TAX_CHP_MultiFuel-NEW'!E31,'Sub_CHP-Bio_Old'!$F$18:$F$154,0))</f>
        <v>7.3033333333333337</v>
      </c>
      <c r="O31" t="s">
        <v>458</v>
      </c>
      <c r="P31" t="s">
        <v>8</v>
      </c>
      <c r="Q31">
        <v>2050</v>
      </c>
      <c r="R31" s="53" t="s">
        <v>171</v>
      </c>
      <c r="S31" s="53" t="s">
        <v>72</v>
      </c>
      <c r="T31" s="30" t="s">
        <v>297</v>
      </c>
      <c r="U31" s="38">
        <f t="shared" si="4"/>
        <v>0</v>
      </c>
      <c r="V31" s="38">
        <f t="shared" si="5"/>
        <v>0</v>
      </c>
      <c r="X31" t="str">
        <f t="shared" si="2"/>
        <v>ELCWPE</v>
      </c>
    </row>
    <row r="32" spans="2:24" ht="13.8">
      <c r="B32" t="s">
        <v>458</v>
      </c>
      <c r="C32" t="s">
        <v>8</v>
      </c>
      <c r="D32">
        <v>2010</v>
      </c>
      <c r="E32" s="282" t="s">
        <v>171</v>
      </c>
      <c r="F32" s="53" t="s">
        <v>132</v>
      </c>
      <c r="G32" s="30" t="s">
        <v>297</v>
      </c>
      <c r="H32" s="38">
        <f t="shared" si="6"/>
        <v>-7.3033333333333337</v>
      </c>
      <c r="I32" s="38">
        <f t="shared" si="0"/>
        <v>-7.3033333333333337</v>
      </c>
      <c r="J32" s="38"/>
      <c r="L32" t="str">
        <f t="shared" si="1"/>
        <v>ELCWCH</v>
      </c>
      <c r="M32">
        <f>INDEX('Sub_CHP-Bio_Old'!$I$18:$I$154,MATCH('TAX_CHP_MultiFuel-NEW'!E32,'Sub_CHP-Bio_Old'!$F$18:$F$154,0))</f>
        <v>7.3033333333333337</v>
      </c>
      <c r="O32" t="s">
        <v>458</v>
      </c>
      <c r="P32" t="s">
        <v>8</v>
      </c>
      <c r="Q32">
        <v>2050</v>
      </c>
      <c r="R32" s="53" t="s">
        <v>171</v>
      </c>
      <c r="S32" s="53" t="s">
        <v>132</v>
      </c>
      <c r="T32" s="30" t="s">
        <v>297</v>
      </c>
      <c r="U32" s="38">
        <f t="shared" si="4"/>
        <v>0</v>
      </c>
      <c r="V32" s="38">
        <f t="shared" si="5"/>
        <v>0</v>
      </c>
      <c r="X32" t="str">
        <f t="shared" si="2"/>
        <v>ELCWCH</v>
      </c>
    </row>
    <row r="33" spans="2:24" ht="13.8">
      <c r="B33" t="s">
        <v>458</v>
      </c>
      <c r="C33" t="s">
        <v>8</v>
      </c>
      <c r="D33">
        <v>2010</v>
      </c>
      <c r="E33" s="287" t="s">
        <v>171</v>
      </c>
      <c r="F33" s="53" t="s">
        <v>11</v>
      </c>
      <c r="G33" s="30" t="s">
        <v>297</v>
      </c>
      <c r="H33" s="38">
        <f t="shared" si="6"/>
        <v>11.508513238289206</v>
      </c>
      <c r="I33" s="38">
        <f t="shared" si="0"/>
        <v>11.508513238289206</v>
      </c>
      <c r="J33" s="38"/>
      <c r="L33" t="str">
        <f t="shared" si="1"/>
        <v>ELCWST</v>
      </c>
      <c r="O33" t="s">
        <v>458</v>
      </c>
      <c r="P33" t="s">
        <v>8</v>
      </c>
      <c r="Q33">
        <v>2050</v>
      </c>
      <c r="R33" s="53" t="s">
        <v>171</v>
      </c>
      <c r="S33" s="53" t="s">
        <v>11</v>
      </c>
      <c r="T33" s="30" t="s">
        <v>297</v>
      </c>
      <c r="U33" s="38">
        <f t="shared" si="4"/>
        <v>19.197295081967212</v>
      </c>
      <c r="V33" s="38">
        <f t="shared" si="5"/>
        <v>19.197295081967212</v>
      </c>
      <c r="X33" t="str">
        <f t="shared" si="2"/>
        <v>ELCWST</v>
      </c>
    </row>
    <row r="34" spans="2:24" ht="13.8">
      <c r="B34" t="s">
        <v>458</v>
      </c>
      <c r="C34" t="s">
        <v>8</v>
      </c>
      <c r="D34">
        <v>2010</v>
      </c>
      <c r="E34" s="287" t="s">
        <v>165</v>
      </c>
      <c r="F34" s="283" t="s">
        <v>474</v>
      </c>
      <c r="G34" s="30" t="s">
        <v>297</v>
      </c>
      <c r="H34" s="38">
        <f t="shared" si="6"/>
        <v>35.355480573398125</v>
      </c>
      <c r="I34" s="38">
        <f t="shared" si="0"/>
        <v>35.355480573398125</v>
      </c>
      <c r="J34" s="38"/>
      <c r="L34" t="str">
        <f>IF(LEFT(F34,1)="E",F34,"ELC"&amp;F34)</f>
        <v>ELCGAS</v>
      </c>
      <c r="O34" t="s">
        <v>458</v>
      </c>
      <c r="P34" t="s">
        <v>8</v>
      </c>
      <c r="Q34">
        <v>2050</v>
      </c>
      <c r="R34" s="53" t="s">
        <v>165</v>
      </c>
      <c r="S34" s="53" t="s">
        <v>11</v>
      </c>
      <c r="T34" s="30" t="s">
        <v>297</v>
      </c>
      <c r="U34" s="38">
        <f t="shared" si="4"/>
        <v>19.197295081967212</v>
      </c>
      <c r="V34" s="38">
        <f t="shared" si="5"/>
        <v>19.197295081967212</v>
      </c>
      <c r="X34" t="str">
        <f t="shared" si="2"/>
        <v>ELCWST</v>
      </c>
    </row>
    <row r="35" spans="2:24" ht="13.8">
      <c r="B35" t="s">
        <v>458</v>
      </c>
      <c r="C35" t="s">
        <v>8</v>
      </c>
      <c r="D35">
        <v>2010</v>
      </c>
      <c r="E35" s="287" t="s">
        <v>165</v>
      </c>
      <c r="F35" s="283" t="s">
        <v>11</v>
      </c>
      <c r="G35" s="30" t="s">
        <v>297</v>
      </c>
      <c r="H35" s="38">
        <f t="shared" si="6"/>
        <v>11.508513238289206</v>
      </c>
      <c r="I35" s="38">
        <f t="shared" ref="I35" si="16">H35</f>
        <v>11.508513238289206</v>
      </c>
      <c r="J35" s="38"/>
      <c r="L35" t="str">
        <f t="shared" ref="L35" si="17">IF(LEFT(F35,1)="E",F35,"ELC"&amp;F35)</f>
        <v>ELCWST</v>
      </c>
      <c r="O35" t="s">
        <v>458</v>
      </c>
      <c r="P35" t="s">
        <v>8</v>
      </c>
      <c r="Q35">
        <v>2050</v>
      </c>
      <c r="R35" s="53" t="s">
        <v>165</v>
      </c>
      <c r="S35" s="53" t="s">
        <v>11</v>
      </c>
      <c r="T35" s="30" t="s">
        <v>297</v>
      </c>
      <c r="U35" s="38">
        <f t="shared" ref="U35" si="18">HLOOKUP(X35,FuelTax2,Q35-2006,FALSE)*$B$10</f>
        <v>19.197295081967212</v>
      </c>
      <c r="V35" s="38">
        <f t="shared" ref="V35" si="19">U35</f>
        <v>19.197295081967212</v>
      </c>
      <c r="X35" t="str">
        <f t="shared" ref="X35" si="20">IF(LEFT(S35,1)="E",S35,"ELC"&amp;S35)</f>
        <v>ELCWST</v>
      </c>
    </row>
    <row r="36" spans="2:24" ht="13.8">
      <c r="B36" t="s">
        <v>458</v>
      </c>
      <c r="C36" t="s">
        <v>8</v>
      </c>
      <c r="D36">
        <v>2010</v>
      </c>
      <c r="E36" s="287" t="s">
        <v>165</v>
      </c>
      <c r="F36" s="283" t="s">
        <v>51</v>
      </c>
      <c r="G36" s="30" t="s">
        <v>297</v>
      </c>
      <c r="H36" s="38">
        <f t="shared" si="6"/>
        <v>35.355480573398125</v>
      </c>
      <c r="I36" s="38">
        <f t="shared" si="0"/>
        <v>35.355480573398125</v>
      </c>
      <c r="J36" s="38"/>
      <c r="L36" t="str">
        <f t="shared" si="1"/>
        <v>ELCBGA</v>
      </c>
      <c r="O36" t="s">
        <v>458</v>
      </c>
      <c r="P36" t="s">
        <v>8</v>
      </c>
      <c r="Q36">
        <v>2050</v>
      </c>
      <c r="R36" s="53" t="s">
        <v>165</v>
      </c>
      <c r="S36" s="53" t="s">
        <v>11</v>
      </c>
      <c r="T36" s="30" t="s">
        <v>297</v>
      </c>
      <c r="U36" s="38">
        <f t="shared" si="4"/>
        <v>19.197295081967212</v>
      </c>
      <c r="V36" s="38">
        <f t="shared" si="5"/>
        <v>19.197295081967212</v>
      </c>
      <c r="X36" t="str">
        <f t="shared" si="2"/>
        <v>ELCWST</v>
      </c>
    </row>
    <row r="37" spans="2:24" ht="13.8">
      <c r="B37" t="s">
        <v>458</v>
      </c>
      <c r="C37" t="s">
        <v>8</v>
      </c>
      <c r="D37">
        <v>2010</v>
      </c>
      <c r="E37" s="287" t="s">
        <v>100</v>
      </c>
      <c r="F37" s="53" t="s">
        <v>101</v>
      </c>
      <c r="G37" s="30" t="s">
        <v>297</v>
      </c>
      <c r="H37" s="38">
        <f t="shared" si="6"/>
        <v>35.729612642957861</v>
      </c>
      <c r="I37" s="38">
        <f t="shared" si="0"/>
        <v>35.729612642957861</v>
      </c>
      <c r="J37" s="38"/>
      <c r="L37" t="str">
        <f t="shared" si="1"/>
        <v>ELCCOA</v>
      </c>
      <c r="O37" t="s">
        <v>458</v>
      </c>
      <c r="P37" t="s">
        <v>8</v>
      </c>
      <c r="Q37">
        <v>2050</v>
      </c>
      <c r="R37" s="53" t="s">
        <v>100</v>
      </c>
      <c r="S37" s="53" t="s">
        <v>101</v>
      </c>
      <c r="T37" s="30" t="s">
        <v>297</v>
      </c>
      <c r="U37" s="38">
        <f t="shared" si="4"/>
        <v>32.94</v>
      </c>
      <c r="V37" s="38">
        <f t="shared" si="5"/>
        <v>32.94</v>
      </c>
      <c r="X37" t="str">
        <f t="shared" si="2"/>
        <v>ELCCOA</v>
      </c>
    </row>
    <row r="38" spans="2:24" ht="13.8">
      <c r="B38" t="s">
        <v>458</v>
      </c>
      <c r="C38" t="s">
        <v>8</v>
      </c>
      <c r="D38">
        <v>2010</v>
      </c>
      <c r="E38" s="287" t="s">
        <v>100</v>
      </c>
      <c r="F38" s="53" t="s">
        <v>52</v>
      </c>
      <c r="G38" s="30" t="s">
        <v>297</v>
      </c>
      <c r="H38" s="38">
        <f t="shared" si="6"/>
        <v>-6.2787499999999996</v>
      </c>
      <c r="I38" s="38">
        <f t="shared" si="0"/>
        <v>-6.2787499999999996</v>
      </c>
      <c r="J38" s="38"/>
      <c r="L38" t="str">
        <f t="shared" si="1"/>
        <v>ELCSTR</v>
      </c>
      <c r="M38">
        <f>INDEX('Sub_CHP-Bio_Old'!$I$18:$I$154,MATCH('TAX_CHP_MultiFuel-NEW'!E38,'Sub_CHP-Bio_Old'!$F$18:$F$154,0))</f>
        <v>6.2787499999999996</v>
      </c>
      <c r="O38" t="s">
        <v>458</v>
      </c>
      <c r="P38" t="s">
        <v>8</v>
      </c>
      <c r="Q38">
        <v>2050</v>
      </c>
      <c r="R38" s="53" t="s">
        <v>100</v>
      </c>
      <c r="S38" s="53" t="s">
        <v>52</v>
      </c>
      <c r="T38" s="30" t="s">
        <v>297</v>
      </c>
      <c r="U38" s="38">
        <f t="shared" si="4"/>
        <v>0</v>
      </c>
      <c r="V38" s="38">
        <f t="shared" si="5"/>
        <v>0</v>
      </c>
      <c r="X38" t="str">
        <f t="shared" si="2"/>
        <v>ELCSTR</v>
      </c>
    </row>
    <row r="39" spans="2:24" ht="13.8">
      <c r="B39" t="s">
        <v>458</v>
      </c>
      <c r="C39" t="s">
        <v>8</v>
      </c>
      <c r="D39">
        <v>2010</v>
      </c>
      <c r="E39" s="287" t="s">
        <v>172</v>
      </c>
      <c r="F39" s="53" t="s">
        <v>72</v>
      </c>
      <c r="G39" s="30" t="s">
        <v>297</v>
      </c>
      <c r="H39" s="38">
        <f t="shared" si="6"/>
        <v>-10.2125</v>
      </c>
      <c r="I39" s="38">
        <f t="shared" si="0"/>
        <v>-10.2125</v>
      </c>
      <c r="J39" s="38"/>
      <c r="L39" t="str">
        <f t="shared" si="1"/>
        <v>ELCWPE</v>
      </c>
      <c r="M39">
        <f>INDEX('Sub_CHP-Bio_Old'!$I$18:$I$154,MATCH('TAX_CHP_MultiFuel-NEW'!E39,'Sub_CHP-Bio_Old'!$F$18:$F$154,0))</f>
        <v>10.2125</v>
      </c>
      <c r="O39" t="s">
        <v>458</v>
      </c>
      <c r="P39" t="s">
        <v>8</v>
      </c>
      <c r="Q39">
        <v>2050</v>
      </c>
      <c r="R39" s="53" t="s">
        <v>172</v>
      </c>
      <c r="S39" s="53" t="s">
        <v>72</v>
      </c>
      <c r="T39" s="30" t="s">
        <v>297</v>
      </c>
      <c r="U39" s="38">
        <f t="shared" si="4"/>
        <v>0</v>
      </c>
      <c r="V39" s="38">
        <f t="shared" si="5"/>
        <v>0</v>
      </c>
      <c r="X39" t="str">
        <f t="shared" si="2"/>
        <v>ELCWPE</v>
      </c>
    </row>
    <row r="40" spans="2:24" ht="13.8">
      <c r="B40" t="s">
        <v>458</v>
      </c>
      <c r="C40" t="s">
        <v>8</v>
      </c>
      <c r="D40">
        <v>2010</v>
      </c>
      <c r="E40" s="287" t="s">
        <v>172</v>
      </c>
      <c r="F40" s="53" t="s">
        <v>132</v>
      </c>
      <c r="G40" s="30" t="s">
        <v>297</v>
      </c>
      <c r="H40" s="38">
        <f t="shared" si="6"/>
        <v>-10.2125</v>
      </c>
      <c r="I40" s="38">
        <f t="shared" si="0"/>
        <v>-10.2125</v>
      </c>
      <c r="J40" s="38"/>
      <c r="L40" t="str">
        <f t="shared" si="1"/>
        <v>ELCWCH</v>
      </c>
      <c r="M40">
        <f>INDEX('Sub_CHP-Bio_Old'!$I$18:$I$154,MATCH('TAX_CHP_MultiFuel-NEW'!E40,'Sub_CHP-Bio_Old'!$F$18:$F$154,0))</f>
        <v>10.2125</v>
      </c>
      <c r="O40" t="s">
        <v>458</v>
      </c>
      <c r="P40" t="s">
        <v>8</v>
      </c>
      <c r="Q40">
        <v>2050</v>
      </c>
      <c r="R40" s="53" t="s">
        <v>172</v>
      </c>
      <c r="S40" s="53" t="s">
        <v>132</v>
      </c>
      <c r="T40" s="30" t="s">
        <v>297</v>
      </c>
      <c r="U40" s="38">
        <f t="shared" si="4"/>
        <v>0</v>
      </c>
      <c r="V40" s="38">
        <f t="shared" si="5"/>
        <v>0</v>
      </c>
      <c r="X40" t="str">
        <f t="shared" si="2"/>
        <v>ELCWCH</v>
      </c>
    </row>
    <row r="41" spans="2:24" ht="13.8">
      <c r="B41" t="s">
        <v>458</v>
      </c>
      <c r="C41" t="s">
        <v>8</v>
      </c>
      <c r="D41">
        <v>2010</v>
      </c>
      <c r="E41" s="287" t="s">
        <v>172</v>
      </c>
      <c r="F41" s="53" t="s">
        <v>474</v>
      </c>
      <c r="G41" s="30" t="s">
        <v>297</v>
      </c>
      <c r="H41" s="38">
        <f t="shared" si="6"/>
        <v>35.355480573398125</v>
      </c>
      <c r="I41" s="38">
        <f t="shared" ref="I41" si="21">H41</f>
        <v>35.355480573398125</v>
      </c>
      <c r="J41" s="38"/>
      <c r="L41" t="str">
        <f t="shared" ref="L41" si="22">IF(LEFT(F41,1)="E",F41,"ELC"&amp;F41)</f>
        <v>ELCGAS</v>
      </c>
      <c r="O41" t="s">
        <v>458</v>
      </c>
      <c r="P41" t="s">
        <v>8</v>
      </c>
      <c r="Q41">
        <v>2050</v>
      </c>
      <c r="R41" s="53" t="s">
        <v>172</v>
      </c>
      <c r="S41" s="53" t="s">
        <v>51</v>
      </c>
      <c r="T41" s="30" t="s">
        <v>297</v>
      </c>
      <c r="U41" s="38">
        <f t="shared" ref="U41" si="23">HLOOKUP(X41,FuelTax2,Q41-2006,FALSE)*$B$10</f>
        <v>32.94</v>
      </c>
      <c r="V41" s="38">
        <f t="shared" ref="V41" si="24">U41</f>
        <v>32.94</v>
      </c>
      <c r="X41" t="str">
        <f t="shared" ref="X41" si="25">IF(LEFT(S41,1)="E",S41,"ELC"&amp;S41)</f>
        <v>ELCBGA</v>
      </c>
    </row>
    <row r="42" spans="2:24" ht="13.8">
      <c r="B42" t="s">
        <v>458</v>
      </c>
      <c r="C42" t="s">
        <v>8</v>
      </c>
      <c r="D42">
        <v>2010</v>
      </c>
      <c r="E42" s="287" t="s">
        <v>172</v>
      </c>
      <c r="F42" s="53" t="s">
        <v>51</v>
      </c>
      <c r="G42" s="30" t="s">
        <v>297</v>
      </c>
      <c r="H42" s="38">
        <f t="shared" si="6"/>
        <v>35.355480573398125</v>
      </c>
      <c r="I42" s="38">
        <f t="shared" si="0"/>
        <v>35.355480573398125</v>
      </c>
      <c r="J42" s="38"/>
      <c r="L42" t="str">
        <f t="shared" si="1"/>
        <v>ELCBGA</v>
      </c>
      <c r="O42" t="s">
        <v>458</v>
      </c>
      <c r="P42" t="s">
        <v>8</v>
      </c>
      <c r="Q42">
        <v>2050</v>
      </c>
      <c r="R42" s="53" t="s">
        <v>172</v>
      </c>
      <c r="S42" s="53" t="s">
        <v>51</v>
      </c>
      <c r="T42" s="30" t="s">
        <v>297</v>
      </c>
      <c r="U42" s="38">
        <f t="shared" si="4"/>
        <v>32.94</v>
      </c>
      <c r="V42" s="38">
        <f t="shared" si="5"/>
        <v>32.94</v>
      </c>
      <c r="X42" t="str">
        <f t="shared" si="2"/>
        <v>ELCBGA</v>
      </c>
    </row>
    <row r="43" spans="2:24" ht="13.8">
      <c r="B43" t="s">
        <v>458</v>
      </c>
      <c r="C43" s="7" t="s">
        <v>8</v>
      </c>
      <c r="D43">
        <v>2010</v>
      </c>
      <c r="E43" s="287" t="s">
        <v>173</v>
      </c>
      <c r="F43" s="53" t="s">
        <v>72</v>
      </c>
      <c r="G43" s="30" t="s">
        <v>297</v>
      </c>
      <c r="H43" s="38">
        <f t="shared" si="6"/>
        <v>-5.375</v>
      </c>
      <c r="I43" s="38">
        <f t="shared" si="0"/>
        <v>-5.375</v>
      </c>
      <c r="J43" s="38"/>
      <c r="L43" t="str">
        <f t="shared" si="1"/>
        <v>ELCWPE</v>
      </c>
      <c r="M43">
        <f>INDEX('Sub_CHP-Bio_Old'!$I$18:$I$154,MATCH('TAX_CHP_MultiFuel-NEW'!E43,'Sub_CHP-Bio_Old'!$F$18:$F$154,0))</f>
        <v>5.375</v>
      </c>
      <c r="O43" t="s">
        <v>458</v>
      </c>
      <c r="P43" s="7" t="s">
        <v>8</v>
      </c>
      <c r="Q43">
        <v>2050</v>
      </c>
      <c r="R43" s="53" t="s">
        <v>173</v>
      </c>
      <c r="S43" s="53" t="s">
        <v>72</v>
      </c>
      <c r="T43" s="35" t="s">
        <v>297</v>
      </c>
      <c r="U43" s="38">
        <f t="shared" si="4"/>
        <v>0</v>
      </c>
      <c r="V43" s="38">
        <f t="shared" si="5"/>
        <v>0</v>
      </c>
      <c r="X43" t="str">
        <f t="shared" si="2"/>
        <v>ELCWPE</v>
      </c>
    </row>
    <row r="44" spans="2:24" ht="13.8">
      <c r="B44" t="s">
        <v>458</v>
      </c>
      <c r="C44" t="s">
        <v>8</v>
      </c>
      <c r="D44">
        <v>2010</v>
      </c>
      <c r="E44" s="287" t="s">
        <v>173</v>
      </c>
      <c r="F44" s="53" t="s">
        <v>132</v>
      </c>
      <c r="G44" s="30" t="s">
        <v>297</v>
      </c>
      <c r="H44" s="38">
        <f t="shared" si="6"/>
        <v>-5.375</v>
      </c>
      <c r="I44" s="38">
        <f t="shared" si="0"/>
        <v>-5.375</v>
      </c>
      <c r="J44" s="38"/>
      <c r="L44" t="str">
        <f t="shared" si="1"/>
        <v>ELCWCH</v>
      </c>
      <c r="M44">
        <f>INDEX('Sub_CHP-Bio_Old'!$I$18:$I$154,MATCH('TAX_CHP_MultiFuel-NEW'!E44,'Sub_CHP-Bio_Old'!$F$18:$F$154,0))</f>
        <v>5.375</v>
      </c>
      <c r="O44" t="s">
        <v>458</v>
      </c>
      <c r="P44" t="s">
        <v>8</v>
      </c>
      <c r="Q44">
        <v>2050</v>
      </c>
      <c r="R44" s="53" t="s">
        <v>173</v>
      </c>
      <c r="S44" s="53" t="s">
        <v>132</v>
      </c>
      <c r="T44" s="30" t="s">
        <v>297</v>
      </c>
      <c r="U44" s="38">
        <f t="shared" si="4"/>
        <v>0</v>
      </c>
      <c r="V44" s="38">
        <f t="shared" si="5"/>
        <v>0</v>
      </c>
      <c r="X44" t="str">
        <f t="shared" si="2"/>
        <v>ELCWCH</v>
      </c>
    </row>
    <row r="45" spans="2:24" ht="13.8">
      <c r="B45" t="s">
        <v>458</v>
      </c>
      <c r="C45" t="s">
        <v>8</v>
      </c>
      <c r="D45">
        <v>2010</v>
      </c>
      <c r="E45" s="287" t="s">
        <v>173</v>
      </c>
      <c r="F45" s="53" t="s">
        <v>11</v>
      </c>
      <c r="G45" s="30" t="s">
        <v>297</v>
      </c>
      <c r="H45" s="38">
        <f t="shared" si="6"/>
        <v>11.508513238289206</v>
      </c>
      <c r="I45" s="38">
        <f t="shared" si="0"/>
        <v>11.508513238289206</v>
      </c>
      <c r="J45" s="38"/>
      <c r="L45" t="str">
        <f t="shared" si="1"/>
        <v>ELCWST</v>
      </c>
      <c r="O45" t="s">
        <v>458</v>
      </c>
      <c r="P45" t="s">
        <v>8</v>
      </c>
      <c r="Q45">
        <v>2050</v>
      </c>
      <c r="R45" s="53" t="s">
        <v>173</v>
      </c>
      <c r="S45" s="53" t="s">
        <v>11</v>
      </c>
      <c r="T45" s="30" t="s">
        <v>297</v>
      </c>
      <c r="U45" s="38">
        <f t="shared" si="4"/>
        <v>19.197295081967212</v>
      </c>
      <c r="V45" s="38">
        <f t="shared" si="5"/>
        <v>19.197295081967212</v>
      </c>
      <c r="X45" t="str">
        <f t="shared" si="2"/>
        <v>ELCWST</v>
      </c>
    </row>
    <row r="46" spans="2:24" ht="13.8">
      <c r="B46" t="s">
        <v>458</v>
      </c>
      <c r="C46" t="s">
        <v>8</v>
      </c>
      <c r="D46">
        <v>2010</v>
      </c>
      <c r="E46" s="287" t="s">
        <v>174</v>
      </c>
      <c r="F46" s="53" t="s">
        <v>11</v>
      </c>
      <c r="G46" s="30" t="s">
        <v>297</v>
      </c>
      <c r="H46" s="38">
        <f t="shared" si="6"/>
        <v>11.508513238289206</v>
      </c>
      <c r="I46" s="38">
        <f t="shared" si="0"/>
        <v>11.508513238289206</v>
      </c>
      <c r="J46" s="38"/>
      <c r="L46" t="str">
        <f t="shared" si="1"/>
        <v>ELCWST</v>
      </c>
      <c r="O46" t="s">
        <v>458</v>
      </c>
      <c r="P46" t="s">
        <v>8</v>
      </c>
      <c r="Q46">
        <v>2050</v>
      </c>
      <c r="R46" s="53" t="s">
        <v>174</v>
      </c>
      <c r="S46" s="53" t="s">
        <v>11</v>
      </c>
      <c r="T46" s="30" t="s">
        <v>297</v>
      </c>
      <c r="U46" s="38">
        <f t="shared" si="4"/>
        <v>19.197295081967212</v>
      </c>
      <c r="V46" s="38">
        <f t="shared" si="5"/>
        <v>19.197295081967212</v>
      </c>
      <c r="X46" t="str">
        <f t="shared" si="2"/>
        <v>ELCWST</v>
      </c>
    </row>
    <row r="47" spans="2:24" ht="13.8">
      <c r="B47" t="s">
        <v>458</v>
      </c>
      <c r="C47" t="s">
        <v>8</v>
      </c>
      <c r="D47">
        <v>2010</v>
      </c>
      <c r="E47" s="287" t="s">
        <v>174</v>
      </c>
      <c r="F47" s="53" t="s">
        <v>52</v>
      </c>
      <c r="G47" s="30" t="s">
        <v>297</v>
      </c>
      <c r="H47" s="38">
        <f t="shared" si="6"/>
        <v>-7.2312500000000002</v>
      </c>
      <c r="I47" s="38">
        <f t="shared" si="0"/>
        <v>-7.2312500000000002</v>
      </c>
      <c r="J47" s="38"/>
      <c r="L47" t="str">
        <f t="shared" si="1"/>
        <v>ELCSTR</v>
      </c>
      <c r="M47">
        <f>INDEX('Sub_CHP-Bio_Old'!$I$18:$I$154,MATCH('TAX_CHP_MultiFuel-NEW'!E47,'Sub_CHP-Bio_Old'!$F$18:$F$154,0))</f>
        <v>7.2312500000000002</v>
      </c>
      <c r="O47" t="s">
        <v>458</v>
      </c>
      <c r="P47" t="s">
        <v>8</v>
      </c>
      <c r="Q47">
        <v>2050</v>
      </c>
      <c r="R47" s="53" t="s">
        <v>174</v>
      </c>
      <c r="S47" s="53" t="s">
        <v>52</v>
      </c>
      <c r="T47" s="30" t="s">
        <v>297</v>
      </c>
      <c r="U47" s="38">
        <f t="shared" si="4"/>
        <v>0</v>
      </c>
      <c r="V47" s="38">
        <f t="shared" si="5"/>
        <v>0</v>
      </c>
      <c r="X47" t="str">
        <f t="shared" si="2"/>
        <v>ELCSTR</v>
      </c>
    </row>
    <row r="48" spans="2:24" ht="13.8">
      <c r="B48" t="s">
        <v>458</v>
      </c>
      <c r="C48" t="s">
        <v>8</v>
      </c>
      <c r="D48">
        <v>2010</v>
      </c>
      <c r="E48" s="287" t="s">
        <v>174</v>
      </c>
      <c r="F48" s="53" t="s">
        <v>132</v>
      </c>
      <c r="G48" s="30" t="s">
        <v>297</v>
      </c>
      <c r="H48" s="38">
        <f t="shared" si="6"/>
        <v>-7.2312500000000002</v>
      </c>
      <c r="I48" s="38">
        <f t="shared" si="0"/>
        <v>-7.2312500000000002</v>
      </c>
      <c r="J48" s="38"/>
      <c r="L48" t="str">
        <f t="shared" si="1"/>
        <v>ELCWCH</v>
      </c>
      <c r="M48">
        <f>INDEX('Sub_CHP-Bio_Old'!$I$18:$I$154,MATCH('TAX_CHP_MultiFuel-NEW'!E48,'Sub_CHP-Bio_Old'!$F$18:$F$154,0))</f>
        <v>7.2312500000000002</v>
      </c>
      <c r="O48" t="s">
        <v>458</v>
      </c>
      <c r="P48" t="s">
        <v>8</v>
      </c>
      <c r="Q48">
        <v>2050</v>
      </c>
      <c r="R48" s="53" t="s">
        <v>174</v>
      </c>
      <c r="S48" s="53" t="s">
        <v>132</v>
      </c>
      <c r="T48" s="30" t="s">
        <v>297</v>
      </c>
      <c r="U48" s="38">
        <f t="shared" si="4"/>
        <v>0</v>
      </c>
      <c r="V48" s="38">
        <f t="shared" si="5"/>
        <v>0</v>
      </c>
      <c r="X48" t="str">
        <f t="shared" si="2"/>
        <v>ELCWCH</v>
      </c>
    </row>
    <row r="49" spans="2:24" ht="13.8">
      <c r="B49" t="s">
        <v>458</v>
      </c>
      <c r="C49" t="s">
        <v>8</v>
      </c>
      <c r="D49">
        <v>2010</v>
      </c>
      <c r="E49" s="287" t="s">
        <v>174</v>
      </c>
      <c r="F49" s="53" t="s">
        <v>474</v>
      </c>
      <c r="G49" s="30" t="s">
        <v>297</v>
      </c>
      <c r="H49" s="38">
        <f t="shared" si="6"/>
        <v>35.355480573398125</v>
      </c>
      <c r="I49" s="38">
        <f t="shared" ref="I49" si="26">H49</f>
        <v>35.355480573398125</v>
      </c>
      <c r="J49" s="38"/>
      <c r="L49" t="str">
        <f t="shared" ref="L49" si="27">IF(LEFT(F49,1)="E",F49,"ELC"&amp;F49)</f>
        <v>ELCGAS</v>
      </c>
      <c r="O49" t="s">
        <v>458</v>
      </c>
      <c r="P49" t="s">
        <v>8</v>
      </c>
      <c r="Q49">
        <v>2050</v>
      </c>
      <c r="R49" s="53" t="s">
        <v>174</v>
      </c>
      <c r="S49" s="53" t="s">
        <v>51</v>
      </c>
      <c r="T49" s="30" t="s">
        <v>297</v>
      </c>
      <c r="U49" s="38">
        <f t="shared" ref="U49" si="28">HLOOKUP(X49,FuelTax2,Q49-2006,FALSE)*$B$10</f>
        <v>32.94</v>
      </c>
      <c r="V49" s="38">
        <f t="shared" ref="V49" si="29">U49</f>
        <v>32.94</v>
      </c>
      <c r="X49" t="str">
        <f t="shared" ref="X49" si="30">IF(LEFT(S49,1)="E",S49,"ELC"&amp;S49)</f>
        <v>ELCBGA</v>
      </c>
    </row>
    <row r="50" spans="2:24" ht="13.8">
      <c r="B50" t="s">
        <v>458</v>
      </c>
      <c r="C50" t="s">
        <v>8</v>
      </c>
      <c r="D50">
        <v>2010</v>
      </c>
      <c r="E50" s="287" t="s">
        <v>174</v>
      </c>
      <c r="F50" s="53" t="s">
        <v>51</v>
      </c>
      <c r="G50" s="30" t="s">
        <v>297</v>
      </c>
      <c r="H50" s="38">
        <f t="shared" si="6"/>
        <v>35.355480573398125</v>
      </c>
      <c r="I50" s="38">
        <f t="shared" si="0"/>
        <v>35.355480573398125</v>
      </c>
      <c r="J50" s="38"/>
      <c r="L50" t="str">
        <f t="shared" si="1"/>
        <v>ELCBGA</v>
      </c>
      <c r="O50" t="s">
        <v>458</v>
      </c>
      <c r="P50" t="s">
        <v>8</v>
      </c>
      <c r="Q50">
        <v>2050</v>
      </c>
      <c r="R50" s="53" t="s">
        <v>174</v>
      </c>
      <c r="S50" s="53" t="s">
        <v>51</v>
      </c>
      <c r="T50" s="30" t="s">
        <v>297</v>
      </c>
      <c r="U50" s="38">
        <f t="shared" si="4"/>
        <v>32.94</v>
      </c>
      <c r="V50" s="38">
        <f t="shared" si="5"/>
        <v>32.94</v>
      </c>
      <c r="X50" t="str">
        <f t="shared" si="2"/>
        <v>ELCBGA</v>
      </c>
    </row>
    <row r="51" spans="2:24" ht="13.8">
      <c r="B51" t="s">
        <v>458</v>
      </c>
      <c r="C51" t="s">
        <v>8</v>
      </c>
      <c r="D51">
        <v>2010</v>
      </c>
      <c r="E51" s="288" t="s">
        <v>476</v>
      </c>
      <c r="F51" s="283" t="s">
        <v>72</v>
      </c>
      <c r="G51" s="30" t="s">
        <v>297</v>
      </c>
      <c r="H51" s="38">
        <f t="shared" si="6"/>
        <v>-7.2807394534093586</v>
      </c>
      <c r="I51" s="38">
        <f>H51</f>
        <v>-7.2807394534093586</v>
      </c>
      <c r="J51" s="38"/>
      <c r="L51" t="str">
        <f t="shared" ref="L51:L53" si="31">IF(LEFT(F51,1)="E",F51,"ELC"&amp;F51)</f>
        <v>ELCWPE</v>
      </c>
      <c r="M51">
        <f>INDEX('Sub_CHP-Bio_Old'!$I$18:$I$154,MATCH('TAX_CHP_MultiFuel-NEW'!E51,'Sub_CHP-Bio_Old'!$F$18:$F$154,0))</f>
        <v>7.2807394534093586</v>
      </c>
      <c r="R51" s="53"/>
      <c r="S51" s="53"/>
      <c r="T51" s="30"/>
      <c r="U51" s="38"/>
      <c r="V51" s="38"/>
    </row>
    <row r="52" spans="2:24" ht="13.8">
      <c r="B52" t="s">
        <v>458</v>
      </c>
      <c r="C52" t="s">
        <v>8</v>
      </c>
      <c r="D52">
        <v>2010</v>
      </c>
      <c r="E52" s="288" t="s">
        <v>476</v>
      </c>
      <c r="F52" s="283" t="s">
        <v>132</v>
      </c>
      <c r="G52" s="30" t="s">
        <v>297</v>
      </c>
      <c r="H52" s="38">
        <f t="shared" si="6"/>
        <v>-7.2807394534093586</v>
      </c>
      <c r="I52" s="38">
        <f t="shared" ref="I52:I53" si="32">H52</f>
        <v>-7.2807394534093586</v>
      </c>
      <c r="J52" s="38"/>
      <c r="L52" t="str">
        <f t="shared" si="31"/>
        <v>ELCWCH</v>
      </c>
      <c r="M52">
        <f>INDEX('Sub_CHP-Bio_Old'!$I$18:$I$154,MATCH('TAX_CHP_MultiFuel-NEW'!E52,'Sub_CHP-Bio_Old'!$F$18:$F$154,0))</f>
        <v>7.2807394534093586</v>
      </c>
      <c r="R52" s="53"/>
      <c r="S52" s="53"/>
      <c r="T52" s="30"/>
      <c r="U52" s="38"/>
      <c r="V52" s="38"/>
    </row>
    <row r="53" spans="2:24" ht="13.8">
      <c r="B53" t="s">
        <v>458</v>
      </c>
      <c r="C53" t="s">
        <v>8</v>
      </c>
      <c r="D53">
        <v>2010</v>
      </c>
      <c r="E53" s="288" t="s">
        <v>476</v>
      </c>
      <c r="F53" s="283" t="s">
        <v>11</v>
      </c>
      <c r="G53" s="30" t="s">
        <v>297</v>
      </c>
      <c r="H53" s="38">
        <f t="shared" si="6"/>
        <v>11.508513238289206</v>
      </c>
      <c r="I53" s="38">
        <f t="shared" si="32"/>
        <v>11.508513238289206</v>
      </c>
      <c r="J53" s="38"/>
      <c r="L53" t="str">
        <f t="shared" si="31"/>
        <v>ELCWST</v>
      </c>
      <c r="R53" s="53"/>
      <c r="S53" s="53"/>
      <c r="T53" s="30"/>
      <c r="U53" s="38"/>
      <c r="V53" s="38"/>
    </row>
    <row r="54" spans="2:24" ht="13.8">
      <c r="B54" t="s">
        <v>458</v>
      </c>
      <c r="C54" t="s">
        <v>8</v>
      </c>
      <c r="D54">
        <v>2010</v>
      </c>
      <c r="E54" s="282" t="s">
        <v>175</v>
      </c>
      <c r="F54" s="53" t="s">
        <v>101</v>
      </c>
      <c r="G54" s="30" t="s">
        <v>297</v>
      </c>
      <c r="H54" s="38">
        <f t="shared" si="6"/>
        <v>35.729612642957861</v>
      </c>
      <c r="I54" s="38">
        <f t="shared" ref="I54:I108" si="33">H54</f>
        <v>35.729612642957861</v>
      </c>
      <c r="J54" s="38"/>
      <c r="L54" t="str">
        <f t="shared" ref="L54:L91" si="34">IF(LEFT(F54,1)="E",F54,"ELC"&amp;F54)</f>
        <v>ELCCOA</v>
      </c>
      <c r="O54" t="s">
        <v>458</v>
      </c>
      <c r="P54" t="s">
        <v>8</v>
      </c>
      <c r="Q54">
        <v>2050</v>
      </c>
      <c r="R54" s="53" t="s">
        <v>175</v>
      </c>
      <c r="S54" s="53" t="s">
        <v>101</v>
      </c>
      <c r="T54" s="30" t="s">
        <v>297</v>
      </c>
      <c r="U54" s="38">
        <f t="shared" si="4"/>
        <v>32.94</v>
      </c>
      <c r="V54" s="38">
        <f t="shared" si="5"/>
        <v>32.94</v>
      </c>
      <c r="X54" t="str">
        <f t="shared" si="2"/>
        <v>ELCCOA</v>
      </c>
    </row>
    <row r="55" spans="2:24" ht="13.8">
      <c r="B55" t="s">
        <v>458</v>
      </c>
      <c r="C55" t="s">
        <v>8</v>
      </c>
      <c r="D55">
        <v>2010</v>
      </c>
      <c r="E55" s="282" t="s">
        <v>175</v>
      </c>
      <c r="F55" s="53" t="s">
        <v>72</v>
      </c>
      <c r="G55" s="30" t="s">
        <v>297</v>
      </c>
      <c r="H55" s="38">
        <f t="shared" si="6"/>
        <v>-10.583333333333336</v>
      </c>
      <c r="I55" s="38">
        <f t="shared" si="33"/>
        <v>-10.583333333333336</v>
      </c>
      <c r="J55" s="38"/>
      <c r="L55" t="str">
        <f t="shared" si="34"/>
        <v>ELCWPE</v>
      </c>
      <c r="M55">
        <f>INDEX('Sub_CHP-Bio_Old'!$I$18:$I$154,MATCH('TAX_CHP_MultiFuel-NEW'!E55,'Sub_CHP-Bio_Old'!$F$18:$F$154,0))</f>
        <v>10.583333333333336</v>
      </c>
      <c r="O55" t="s">
        <v>458</v>
      </c>
      <c r="P55" t="s">
        <v>8</v>
      </c>
      <c r="Q55">
        <v>2050</v>
      </c>
      <c r="R55" s="53" t="s">
        <v>175</v>
      </c>
      <c r="S55" s="53" t="s">
        <v>72</v>
      </c>
      <c r="T55" s="30" t="s">
        <v>297</v>
      </c>
      <c r="U55" s="38">
        <f t="shared" si="4"/>
        <v>0</v>
      </c>
      <c r="V55" s="38">
        <f t="shared" si="5"/>
        <v>0</v>
      </c>
      <c r="X55" t="str">
        <f t="shared" si="2"/>
        <v>ELCWPE</v>
      </c>
    </row>
    <row r="56" spans="2:24" ht="13.8">
      <c r="B56" t="s">
        <v>458</v>
      </c>
      <c r="C56" t="s">
        <v>8</v>
      </c>
      <c r="D56">
        <v>2010</v>
      </c>
      <c r="E56" s="282" t="s">
        <v>176</v>
      </c>
      <c r="F56" s="53" t="s">
        <v>11</v>
      </c>
      <c r="G56" s="30" t="s">
        <v>297</v>
      </c>
      <c r="H56" s="38">
        <f t="shared" si="6"/>
        <v>11.508513238289206</v>
      </c>
      <c r="I56" s="38">
        <f t="shared" si="33"/>
        <v>11.508513238289206</v>
      </c>
      <c r="J56" s="38"/>
      <c r="L56" t="str">
        <f t="shared" si="34"/>
        <v>ELCWST</v>
      </c>
      <c r="O56" t="s">
        <v>458</v>
      </c>
      <c r="P56" t="s">
        <v>8</v>
      </c>
      <c r="Q56">
        <v>2050</v>
      </c>
      <c r="R56" s="53" t="s">
        <v>176</v>
      </c>
      <c r="S56" s="53" t="s">
        <v>11</v>
      </c>
      <c r="T56" s="30" t="s">
        <v>297</v>
      </c>
      <c r="U56" s="38">
        <f t="shared" ref="U56:U72" si="35">HLOOKUP(X56,FuelTax2,Q56-2006,FALSE)*$B$10</f>
        <v>19.197295081967212</v>
      </c>
      <c r="V56" s="38">
        <f t="shared" ref="V56:V72" si="36">U56</f>
        <v>19.197295081967212</v>
      </c>
      <c r="X56" t="str">
        <f t="shared" ref="X56:X70" si="37">IF(LEFT(S56,1)="E",S56,"ELC"&amp;S56)</f>
        <v>ELCWST</v>
      </c>
    </row>
    <row r="57" spans="2:24" ht="13.8">
      <c r="B57" t="s">
        <v>458</v>
      </c>
      <c r="C57" t="s">
        <v>8</v>
      </c>
      <c r="D57">
        <v>2010</v>
      </c>
      <c r="E57" s="282" t="s">
        <v>176</v>
      </c>
      <c r="F57" s="53" t="s">
        <v>52</v>
      </c>
      <c r="G57" s="30" t="s">
        <v>297</v>
      </c>
      <c r="H57" s="38">
        <f t="shared" ref="H57:H73" si="38">HLOOKUP(L57,FuelTax2,D57-2006,FALSE)*$B$10-M57</f>
        <v>-5.915</v>
      </c>
      <c r="I57" s="38">
        <f t="shared" si="33"/>
        <v>-5.915</v>
      </c>
      <c r="J57" s="38"/>
      <c r="L57" t="str">
        <f t="shared" si="34"/>
        <v>ELCSTR</v>
      </c>
      <c r="M57">
        <f>INDEX('Sub_CHP-Bio_Old'!$I$18:$I$154,MATCH('TAX_CHP_MultiFuel-NEW'!E57,'Sub_CHP-Bio_Old'!$F$18:$F$154,0))</f>
        <v>5.915</v>
      </c>
      <c r="O57" t="s">
        <v>458</v>
      </c>
      <c r="P57" t="s">
        <v>8</v>
      </c>
      <c r="Q57">
        <v>2050</v>
      </c>
      <c r="R57" s="53" t="s">
        <v>176</v>
      </c>
      <c r="S57" s="53" t="s">
        <v>52</v>
      </c>
      <c r="T57" s="30" t="s">
        <v>297</v>
      </c>
      <c r="U57" s="38">
        <f t="shared" si="35"/>
        <v>0</v>
      </c>
      <c r="V57" s="38">
        <f t="shared" si="36"/>
        <v>0</v>
      </c>
      <c r="X57" t="str">
        <f t="shared" si="37"/>
        <v>ELCSTR</v>
      </c>
    </row>
    <row r="58" spans="2:24" ht="13.8">
      <c r="B58" t="s">
        <v>458</v>
      </c>
      <c r="C58" t="s">
        <v>8</v>
      </c>
      <c r="D58">
        <v>2010</v>
      </c>
      <c r="E58" s="287" t="s">
        <v>178</v>
      </c>
      <c r="F58" s="283" t="s">
        <v>474</v>
      </c>
      <c r="G58" s="30" t="s">
        <v>297</v>
      </c>
      <c r="H58" s="38">
        <f t="shared" si="38"/>
        <v>35.355480573398125</v>
      </c>
      <c r="I58" s="38">
        <f t="shared" si="33"/>
        <v>35.355480573398125</v>
      </c>
      <c r="J58" s="38"/>
      <c r="L58" t="str">
        <f t="shared" si="34"/>
        <v>ELCGAS</v>
      </c>
      <c r="O58" t="s">
        <v>458</v>
      </c>
      <c r="P58" t="s">
        <v>8</v>
      </c>
      <c r="Q58">
        <v>2050</v>
      </c>
      <c r="R58" s="53" t="s">
        <v>178</v>
      </c>
      <c r="S58" s="53" t="s">
        <v>11</v>
      </c>
      <c r="T58" s="30" t="s">
        <v>297</v>
      </c>
      <c r="U58" s="38">
        <f t="shared" si="35"/>
        <v>19.197295081967212</v>
      </c>
      <c r="V58" s="38">
        <f t="shared" si="36"/>
        <v>19.197295081967212</v>
      </c>
      <c r="X58" t="str">
        <f t="shared" si="37"/>
        <v>ELCWST</v>
      </c>
    </row>
    <row r="59" spans="2:24" ht="13.8">
      <c r="B59" t="s">
        <v>458</v>
      </c>
      <c r="C59" t="s">
        <v>8</v>
      </c>
      <c r="D59">
        <v>2010</v>
      </c>
      <c r="E59" s="287" t="s">
        <v>178</v>
      </c>
      <c r="F59" s="283" t="s">
        <v>11</v>
      </c>
      <c r="G59" s="30" t="s">
        <v>297</v>
      </c>
      <c r="H59" s="38">
        <f t="shared" si="38"/>
        <v>11.508513238289206</v>
      </c>
      <c r="I59" s="38">
        <f t="shared" si="33"/>
        <v>11.508513238289206</v>
      </c>
      <c r="J59" s="38"/>
      <c r="L59" t="str">
        <f t="shared" si="34"/>
        <v>ELCWST</v>
      </c>
      <c r="O59" t="s">
        <v>458</v>
      </c>
      <c r="P59" t="s">
        <v>8</v>
      </c>
      <c r="Q59">
        <v>2050</v>
      </c>
      <c r="R59" s="53" t="s">
        <v>178</v>
      </c>
      <c r="S59" s="53" t="s">
        <v>11</v>
      </c>
      <c r="T59" s="30" t="s">
        <v>297</v>
      </c>
      <c r="U59" s="38">
        <f t="shared" si="35"/>
        <v>19.197295081967212</v>
      </c>
      <c r="V59" s="38">
        <f t="shared" si="36"/>
        <v>19.197295081967212</v>
      </c>
      <c r="X59" t="str">
        <f t="shared" si="37"/>
        <v>ELCWST</v>
      </c>
    </row>
    <row r="60" spans="2:24" ht="13.8">
      <c r="B60" t="s">
        <v>458</v>
      </c>
      <c r="C60" t="s">
        <v>8</v>
      </c>
      <c r="D60">
        <v>2010</v>
      </c>
      <c r="E60" s="287" t="s">
        <v>178</v>
      </c>
      <c r="F60" s="283" t="s">
        <v>51</v>
      </c>
      <c r="G60" s="30" t="s">
        <v>297</v>
      </c>
      <c r="H60" s="38">
        <f t="shared" si="38"/>
        <v>35.355480573398125</v>
      </c>
      <c r="I60" s="38">
        <f t="shared" ref="I60" si="39">H60</f>
        <v>35.355480573398125</v>
      </c>
      <c r="J60" s="38"/>
      <c r="L60" t="str">
        <f t="shared" ref="L60" si="40">IF(LEFT(F60,1)="E",F60,"ELC"&amp;F60)</f>
        <v>ELCBGA</v>
      </c>
      <c r="O60" t="s">
        <v>458</v>
      </c>
      <c r="P60" t="s">
        <v>8</v>
      </c>
      <c r="Q60">
        <v>2050</v>
      </c>
      <c r="R60" s="53" t="s">
        <v>178</v>
      </c>
      <c r="S60" s="53" t="s">
        <v>11</v>
      </c>
      <c r="T60" s="30" t="s">
        <v>297</v>
      </c>
      <c r="U60" s="38">
        <f t="shared" ref="U60" si="41">HLOOKUP(X60,FuelTax2,Q60-2006,FALSE)*$B$10</f>
        <v>19.197295081967212</v>
      </c>
      <c r="V60" s="38">
        <f t="shared" ref="V60" si="42">U60</f>
        <v>19.197295081967212</v>
      </c>
      <c r="X60" t="str">
        <f t="shared" ref="X60" si="43">IF(LEFT(S60,1)="E",S60,"ELC"&amp;S60)</f>
        <v>ELCWST</v>
      </c>
    </row>
    <row r="61" spans="2:24" ht="13.8">
      <c r="B61" t="s">
        <v>458</v>
      </c>
      <c r="C61" t="s">
        <v>8</v>
      </c>
      <c r="D61">
        <v>2010</v>
      </c>
      <c r="E61" s="282" t="s">
        <v>179</v>
      </c>
      <c r="F61" s="53" t="s">
        <v>101</v>
      </c>
      <c r="G61" s="30" t="s">
        <v>297</v>
      </c>
      <c r="H61" s="38">
        <f t="shared" si="38"/>
        <v>35.729612642957861</v>
      </c>
      <c r="I61" s="38">
        <f t="shared" si="33"/>
        <v>35.729612642957861</v>
      </c>
      <c r="J61" s="38"/>
      <c r="L61" t="str">
        <f t="shared" si="34"/>
        <v>ELCCOA</v>
      </c>
      <c r="O61" t="s">
        <v>458</v>
      </c>
      <c r="P61" t="s">
        <v>8</v>
      </c>
      <c r="Q61">
        <v>2050</v>
      </c>
      <c r="R61" s="53" t="s">
        <v>179</v>
      </c>
      <c r="S61" s="53" t="s">
        <v>101</v>
      </c>
      <c r="T61" s="30" t="s">
        <v>297</v>
      </c>
      <c r="U61" s="38">
        <f t="shared" si="35"/>
        <v>32.94</v>
      </c>
      <c r="V61" s="38">
        <f t="shared" si="36"/>
        <v>32.94</v>
      </c>
      <c r="X61" t="str">
        <f t="shared" si="37"/>
        <v>ELCCOA</v>
      </c>
    </row>
    <row r="62" spans="2:24" ht="13.8">
      <c r="B62" t="s">
        <v>458</v>
      </c>
      <c r="C62" t="s">
        <v>8</v>
      </c>
      <c r="D62">
        <v>2010</v>
      </c>
      <c r="E62" s="282" t="s">
        <v>179</v>
      </c>
      <c r="F62" s="53" t="s">
        <v>52</v>
      </c>
      <c r="G62" s="30" t="s">
        <v>297</v>
      </c>
      <c r="H62" s="38">
        <f t="shared" si="38"/>
        <v>-6.2787499999999996</v>
      </c>
      <c r="I62" s="38">
        <f t="shared" si="33"/>
        <v>-6.2787499999999996</v>
      </c>
      <c r="J62" s="38"/>
      <c r="L62" t="str">
        <f t="shared" si="34"/>
        <v>ELCSTR</v>
      </c>
      <c r="M62">
        <f>INDEX('Sub_CHP-Bio_Old'!$I$18:$I$154,MATCH('TAX_CHP_MultiFuel-NEW'!E62,'Sub_CHP-Bio_Old'!$F$18:$F$154,0))</f>
        <v>6.2787499999999996</v>
      </c>
      <c r="O62" t="s">
        <v>458</v>
      </c>
      <c r="P62" t="s">
        <v>8</v>
      </c>
      <c r="Q62">
        <v>2050</v>
      </c>
      <c r="R62" s="53" t="s">
        <v>179</v>
      </c>
      <c r="S62" s="53" t="s">
        <v>52</v>
      </c>
      <c r="T62" s="30" t="s">
        <v>297</v>
      </c>
      <c r="U62" s="38">
        <f t="shared" si="35"/>
        <v>0</v>
      </c>
      <c r="V62" s="38">
        <f t="shared" si="36"/>
        <v>0</v>
      </c>
      <c r="X62" t="str">
        <f t="shared" si="37"/>
        <v>ELCSTR</v>
      </c>
    </row>
    <row r="63" spans="2:24" ht="13.8">
      <c r="B63" t="s">
        <v>458</v>
      </c>
      <c r="C63" t="s">
        <v>8</v>
      </c>
      <c r="D63">
        <v>2010</v>
      </c>
      <c r="E63" s="282" t="s">
        <v>180</v>
      </c>
      <c r="F63" s="53" t="s">
        <v>72</v>
      </c>
      <c r="G63" s="30" t="s">
        <v>297</v>
      </c>
      <c r="H63" s="38">
        <f t="shared" si="38"/>
        <v>-6.3520833333333337</v>
      </c>
      <c r="I63" s="38">
        <f t="shared" si="33"/>
        <v>-6.3520833333333337</v>
      </c>
      <c r="J63" s="38"/>
      <c r="L63" t="str">
        <f t="shared" si="34"/>
        <v>ELCWPE</v>
      </c>
      <c r="M63">
        <f>INDEX('Sub_CHP-Bio_Old'!$I$18:$I$154,MATCH('TAX_CHP_MultiFuel-NEW'!E63,'Sub_CHP-Bio_Old'!$F$18:$F$154,0))</f>
        <v>6.3520833333333337</v>
      </c>
      <c r="O63" t="s">
        <v>458</v>
      </c>
      <c r="P63" t="s">
        <v>8</v>
      </c>
      <c r="Q63">
        <v>2050</v>
      </c>
      <c r="R63" s="53" t="s">
        <v>180</v>
      </c>
      <c r="S63" s="53" t="s">
        <v>72</v>
      </c>
      <c r="T63" s="30" t="s">
        <v>297</v>
      </c>
      <c r="U63" s="38">
        <f t="shared" si="35"/>
        <v>0</v>
      </c>
      <c r="V63" s="38">
        <f t="shared" si="36"/>
        <v>0</v>
      </c>
      <c r="X63" t="str">
        <f t="shared" si="37"/>
        <v>ELCWPE</v>
      </c>
    </row>
    <row r="64" spans="2:24" ht="13.8">
      <c r="B64" t="s">
        <v>458</v>
      </c>
      <c r="C64" t="s">
        <v>8</v>
      </c>
      <c r="D64">
        <v>2010</v>
      </c>
      <c r="E64" s="282" t="s">
        <v>180</v>
      </c>
      <c r="F64" s="53" t="s">
        <v>132</v>
      </c>
      <c r="G64" s="30" t="s">
        <v>297</v>
      </c>
      <c r="H64" s="38">
        <f t="shared" si="38"/>
        <v>-6.3520833333333337</v>
      </c>
      <c r="I64" s="38">
        <f t="shared" si="33"/>
        <v>-6.3520833333333337</v>
      </c>
      <c r="J64" s="38"/>
      <c r="L64" t="str">
        <f t="shared" si="34"/>
        <v>ELCWCH</v>
      </c>
      <c r="M64">
        <f>INDEX('Sub_CHP-Bio_Old'!$I$18:$I$154,MATCH('TAX_CHP_MultiFuel-NEW'!E64,'Sub_CHP-Bio_Old'!$F$18:$F$154,0))</f>
        <v>6.3520833333333337</v>
      </c>
      <c r="O64" t="s">
        <v>458</v>
      </c>
      <c r="P64" t="s">
        <v>8</v>
      </c>
      <c r="Q64">
        <v>2050</v>
      </c>
      <c r="R64" s="53" t="s">
        <v>180</v>
      </c>
      <c r="S64" s="53" t="s">
        <v>132</v>
      </c>
      <c r="T64" s="30" t="s">
        <v>297</v>
      </c>
      <c r="U64" s="38">
        <f t="shared" si="35"/>
        <v>0</v>
      </c>
      <c r="V64" s="38">
        <f t="shared" si="36"/>
        <v>0</v>
      </c>
      <c r="X64" t="str">
        <f t="shared" si="37"/>
        <v>ELCWCH</v>
      </c>
    </row>
    <row r="65" spans="2:24" ht="13.8">
      <c r="B65" t="s">
        <v>458</v>
      </c>
      <c r="C65" t="s">
        <v>8</v>
      </c>
      <c r="D65">
        <v>2010</v>
      </c>
      <c r="E65" s="282" t="s">
        <v>180</v>
      </c>
      <c r="F65" s="53" t="s">
        <v>11</v>
      </c>
      <c r="G65" s="30" t="s">
        <v>297</v>
      </c>
      <c r="H65" s="38">
        <f t="shared" si="38"/>
        <v>11.508513238289206</v>
      </c>
      <c r="I65" s="38">
        <f t="shared" si="33"/>
        <v>11.508513238289206</v>
      </c>
      <c r="J65" s="38"/>
      <c r="L65" t="str">
        <f t="shared" si="34"/>
        <v>ELCWST</v>
      </c>
      <c r="O65" t="s">
        <v>458</v>
      </c>
      <c r="P65" t="s">
        <v>8</v>
      </c>
      <c r="Q65">
        <v>2050</v>
      </c>
      <c r="R65" s="53" t="s">
        <v>180</v>
      </c>
      <c r="S65" s="53" t="s">
        <v>11</v>
      </c>
      <c r="T65" s="30" t="s">
        <v>297</v>
      </c>
      <c r="U65" s="38">
        <f t="shared" si="35"/>
        <v>19.197295081967212</v>
      </c>
      <c r="V65" s="38">
        <f t="shared" si="36"/>
        <v>19.197295081967212</v>
      </c>
      <c r="X65" t="str">
        <f t="shared" si="37"/>
        <v>ELCWST</v>
      </c>
    </row>
    <row r="66" spans="2:24" ht="13.8">
      <c r="B66" t="s">
        <v>458</v>
      </c>
      <c r="C66" t="s">
        <v>8</v>
      </c>
      <c r="D66">
        <v>2010</v>
      </c>
      <c r="E66" s="287" t="s">
        <v>481</v>
      </c>
      <c r="F66" s="53" t="s">
        <v>72</v>
      </c>
      <c r="G66" s="30" t="s">
        <v>297</v>
      </c>
      <c r="H66" s="38">
        <f t="shared" si="38"/>
        <v>-5.1145833333333339</v>
      </c>
      <c r="I66" s="38">
        <f t="shared" ref="I66" si="44">H66</f>
        <v>-5.1145833333333339</v>
      </c>
      <c r="J66" s="38"/>
      <c r="L66" t="str">
        <f t="shared" ref="L66" si="45">IF(LEFT(F66,1)="E",F66,"ELC"&amp;F66)</f>
        <v>ELCWPE</v>
      </c>
      <c r="M66">
        <f>INDEX('Sub_CHP-Bio_Old'!$I$18:$I$154,MATCH('TAX_CHP_MultiFuel-NEW'!E66,'Sub_CHP-Bio_Old'!$F$18:$F$154,0))</f>
        <v>5.1145833333333339</v>
      </c>
      <c r="O66" t="s">
        <v>458</v>
      </c>
      <c r="P66" t="s">
        <v>8</v>
      </c>
      <c r="Q66">
        <v>2050</v>
      </c>
      <c r="R66" s="53" t="s">
        <v>182</v>
      </c>
      <c r="S66" s="53" t="s">
        <v>72</v>
      </c>
      <c r="T66" s="30" t="s">
        <v>297</v>
      </c>
      <c r="U66" s="38">
        <f t="shared" ref="U66" si="46">HLOOKUP(X66,FuelTax2,Q66-2006,FALSE)*$B$10</f>
        <v>0</v>
      </c>
      <c r="V66" s="38">
        <f t="shared" ref="V66" si="47">U66</f>
        <v>0</v>
      </c>
      <c r="X66" t="str">
        <f t="shared" ref="X66" si="48">IF(LEFT(S66,1)="E",S66,"ELC"&amp;S66)</f>
        <v>ELCWPE</v>
      </c>
    </row>
    <row r="67" spans="2:24" ht="13.8">
      <c r="B67" t="s">
        <v>458</v>
      </c>
      <c r="C67" t="s">
        <v>8</v>
      </c>
      <c r="D67">
        <v>2010</v>
      </c>
      <c r="E67" s="287" t="s">
        <v>481</v>
      </c>
      <c r="F67" s="53" t="s">
        <v>132</v>
      </c>
      <c r="G67" s="30" t="s">
        <v>297</v>
      </c>
      <c r="H67" s="38">
        <f t="shared" si="38"/>
        <v>-5.1145833333333339</v>
      </c>
      <c r="I67" s="38">
        <f t="shared" si="33"/>
        <v>-5.1145833333333339</v>
      </c>
      <c r="J67" s="38"/>
      <c r="L67" t="str">
        <f t="shared" si="34"/>
        <v>ELCWCH</v>
      </c>
      <c r="M67">
        <f>INDEX('Sub_CHP-Bio_Old'!$I$18:$I$154,MATCH('TAX_CHP_MultiFuel-NEW'!E67,'Sub_CHP-Bio_Old'!$F$18:$F$154,0))</f>
        <v>5.1145833333333339</v>
      </c>
      <c r="O67" t="s">
        <v>458</v>
      </c>
      <c r="P67" t="s">
        <v>8</v>
      </c>
      <c r="Q67">
        <v>2050</v>
      </c>
      <c r="R67" s="53" t="s">
        <v>182</v>
      </c>
      <c r="S67" s="53" t="s">
        <v>72</v>
      </c>
      <c r="T67" s="30" t="s">
        <v>297</v>
      </c>
      <c r="U67" s="38">
        <f t="shared" si="35"/>
        <v>0</v>
      </c>
      <c r="V67" s="38">
        <f t="shared" si="36"/>
        <v>0</v>
      </c>
      <c r="X67" t="str">
        <f t="shared" si="37"/>
        <v>ELCWPE</v>
      </c>
    </row>
    <row r="68" spans="2:24" ht="13.8">
      <c r="B68" t="s">
        <v>458</v>
      </c>
      <c r="C68" t="s">
        <v>8</v>
      </c>
      <c r="D68">
        <v>2010</v>
      </c>
      <c r="E68" s="287" t="s">
        <v>481</v>
      </c>
      <c r="F68" s="53" t="s">
        <v>11</v>
      </c>
      <c r="G68" s="30" t="s">
        <v>297</v>
      </c>
      <c r="H68" s="38">
        <f t="shared" si="38"/>
        <v>6.393929904955872</v>
      </c>
      <c r="I68" s="38">
        <f t="shared" ref="I68" si="49">H68</f>
        <v>6.393929904955872</v>
      </c>
      <c r="J68" s="38"/>
      <c r="L68" t="str">
        <f t="shared" ref="L68" si="50">IF(LEFT(F68,1)="E",F68,"ELC"&amp;F68)</f>
        <v>ELCWST</v>
      </c>
      <c r="M68">
        <f>INDEX('Sub_CHP-Bio_Old'!$I$18:$I$154,MATCH('TAX_CHP_MultiFuel-NEW'!E68,'Sub_CHP-Bio_Old'!$F$18:$F$154,0))</f>
        <v>5.1145833333333339</v>
      </c>
      <c r="O68" t="s">
        <v>458</v>
      </c>
      <c r="P68" t="s">
        <v>8</v>
      </c>
      <c r="Q68">
        <v>2050</v>
      </c>
      <c r="R68" s="53" t="s">
        <v>182</v>
      </c>
      <c r="S68" s="53" t="s">
        <v>72</v>
      </c>
      <c r="T68" s="30" t="s">
        <v>297</v>
      </c>
      <c r="U68" s="38">
        <f t="shared" ref="U68" si="51">HLOOKUP(X68,FuelTax2,Q68-2006,FALSE)*$B$10</f>
        <v>0</v>
      </c>
      <c r="V68" s="38">
        <f t="shared" ref="V68" si="52">U68</f>
        <v>0</v>
      </c>
      <c r="X68" t="str">
        <f t="shared" ref="X68" si="53">IF(LEFT(S68,1)="E",S68,"ELC"&amp;S68)</f>
        <v>ELCWPE</v>
      </c>
    </row>
    <row r="69" spans="2:24" ht="13.8">
      <c r="B69" t="s">
        <v>458</v>
      </c>
      <c r="C69" t="s">
        <v>8</v>
      </c>
      <c r="D69">
        <v>2010</v>
      </c>
      <c r="E69" s="282" t="s">
        <v>480</v>
      </c>
      <c r="F69" s="53" t="s">
        <v>11</v>
      </c>
      <c r="G69" s="30" t="s">
        <v>297</v>
      </c>
      <c r="H69" s="38">
        <f t="shared" si="38"/>
        <v>11.508513238289206</v>
      </c>
      <c r="I69" s="38">
        <f t="shared" si="33"/>
        <v>11.508513238289206</v>
      </c>
      <c r="J69" s="38"/>
      <c r="L69" t="str">
        <f t="shared" si="34"/>
        <v>ELCWST</v>
      </c>
      <c r="O69" t="s">
        <v>458</v>
      </c>
      <c r="P69" t="s">
        <v>8</v>
      </c>
      <c r="Q69">
        <v>2050</v>
      </c>
      <c r="R69" s="53" t="s">
        <v>183</v>
      </c>
      <c r="S69" s="53" t="s">
        <v>11</v>
      </c>
      <c r="T69" s="30" t="s">
        <v>297</v>
      </c>
      <c r="U69" s="38">
        <f t="shared" si="35"/>
        <v>19.197295081967212</v>
      </c>
      <c r="V69" s="38">
        <f t="shared" si="36"/>
        <v>19.197295081967212</v>
      </c>
      <c r="X69" t="str">
        <f t="shared" si="37"/>
        <v>ELCWST</v>
      </c>
    </row>
    <row r="70" spans="2:24" ht="13.8">
      <c r="B70" t="s">
        <v>458</v>
      </c>
      <c r="C70" t="s">
        <v>8</v>
      </c>
      <c r="D70">
        <v>2010</v>
      </c>
      <c r="E70" s="282" t="s">
        <v>480</v>
      </c>
      <c r="F70" s="53" t="s">
        <v>52</v>
      </c>
      <c r="G70" s="30" t="s">
        <v>297</v>
      </c>
      <c r="H70" s="38">
        <f t="shared" si="38"/>
        <v>-7.2312500000000002</v>
      </c>
      <c r="I70" s="38">
        <f t="shared" si="33"/>
        <v>-7.2312500000000002</v>
      </c>
      <c r="J70" s="38"/>
      <c r="L70" t="str">
        <f t="shared" si="34"/>
        <v>ELCSTR</v>
      </c>
      <c r="M70">
        <f>INDEX('Sub_CHP-Bio_Old'!$I$18:$I$154,MATCH('TAX_CHP_MultiFuel-NEW'!E70,'Sub_CHP-Bio_Old'!$F$18:$F$154,0))</f>
        <v>7.2312500000000002</v>
      </c>
      <c r="O70" t="s">
        <v>458</v>
      </c>
      <c r="P70" t="s">
        <v>8</v>
      </c>
      <c r="Q70">
        <v>2050</v>
      </c>
      <c r="R70" s="53" t="s">
        <v>183</v>
      </c>
      <c r="S70" s="53" t="s">
        <v>52</v>
      </c>
      <c r="T70" s="30" t="s">
        <v>297</v>
      </c>
      <c r="U70" s="38">
        <f t="shared" si="35"/>
        <v>0</v>
      </c>
      <c r="V70" s="38">
        <f t="shared" si="36"/>
        <v>0</v>
      </c>
      <c r="X70" t="str">
        <f t="shared" si="37"/>
        <v>ELCSTR</v>
      </c>
    </row>
    <row r="71" spans="2:24" ht="13.8">
      <c r="B71" t="s">
        <v>458</v>
      </c>
      <c r="C71" t="s">
        <v>8</v>
      </c>
      <c r="D71">
        <v>2010</v>
      </c>
      <c r="E71" s="282" t="s">
        <v>480</v>
      </c>
      <c r="F71" s="53" t="s">
        <v>132</v>
      </c>
      <c r="G71" s="30" t="s">
        <v>297</v>
      </c>
      <c r="H71" s="38">
        <f t="shared" si="38"/>
        <v>-7.2312500000000002</v>
      </c>
      <c r="I71" s="38">
        <f t="shared" si="33"/>
        <v>-7.2312500000000002</v>
      </c>
      <c r="J71" s="38"/>
      <c r="L71" t="str">
        <f t="shared" si="34"/>
        <v>ELCWCH</v>
      </c>
      <c r="M71">
        <f>INDEX('Sub_CHP-Bio_Old'!$I$18:$I$154,MATCH('TAX_CHP_MultiFuel-NEW'!E71,'Sub_CHP-Bio_Old'!$F$18:$F$154,0))</f>
        <v>7.2312500000000002</v>
      </c>
      <c r="O71" t="s">
        <v>458</v>
      </c>
      <c r="P71" t="s">
        <v>8</v>
      </c>
      <c r="Q71">
        <v>2050</v>
      </c>
      <c r="R71" s="53" t="s">
        <v>183</v>
      </c>
      <c r="S71" s="53" t="s">
        <v>132</v>
      </c>
      <c r="T71" s="30" t="s">
        <v>297</v>
      </c>
      <c r="U71" s="38">
        <f t="shared" si="35"/>
        <v>0</v>
      </c>
      <c r="V71" s="38">
        <f t="shared" si="36"/>
        <v>0</v>
      </c>
      <c r="X71" t="str">
        <f t="shared" ref="X71:X73" si="54">IF(LEFT(S71,1)="E",S71,"ELC"&amp;S71)</f>
        <v>ELCWCH</v>
      </c>
    </row>
    <row r="72" spans="2:24" ht="13.8">
      <c r="B72" t="s">
        <v>458</v>
      </c>
      <c r="C72" t="s">
        <v>8</v>
      </c>
      <c r="D72">
        <v>2010</v>
      </c>
      <c r="E72" s="282" t="s">
        <v>480</v>
      </c>
      <c r="F72" s="53" t="s">
        <v>474</v>
      </c>
      <c r="G72" s="30" t="s">
        <v>297</v>
      </c>
      <c r="H72" s="38">
        <f t="shared" si="38"/>
        <v>35.355480573398125</v>
      </c>
      <c r="I72" s="38">
        <f t="shared" ref="I72" si="55">H72</f>
        <v>35.355480573398125</v>
      </c>
      <c r="J72" s="38"/>
      <c r="L72" t="str">
        <f t="shared" ref="L72" si="56">IF(LEFT(F72,1)="E",F72,"ELC"&amp;F72)</f>
        <v>ELCGAS</v>
      </c>
      <c r="O72" t="s">
        <v>458</v>
      </c>
      <c r="P72" t="s">
        <v>8</v>
      </c>
      <c r="Q72">
        <v>2050</v>
      </c>
      <c r="R72" s="53" t="s">
        <v>183</v>
      </c>
      <c r="S72" s="53" t="s">
        <v>51</v>
      </c>
      <c r="T72" s="30" t="s">
        <v>297</v>
      </c>
      <c r="U72" s="38">
        <f t="shared" si="35"/>
        <v>32.94</v>
      </c>
      <c r="V72" s="38">
        <f t="shared" si="36"/>
        <v>32.94</v>
      </c>
      <c r="X72" t="str">
        <f t="shared" ref="X72" si="57">IF(LEFT(S72,1)="E",S72,"ELC"&amp;S72)</f>
        <v>ELCBGA</v>
      </c>
    </row>
    <row r="73" spans="2:24" ht="13.8">
      <c r="B73" s="7" t="s">
        <v>458</v>
      </c>
      <c r="C73" s="7" t="s">
        <v>8</v>
      </c>
      <c r="D73" s="7">
        <v>2010</v>
      </c>
      <c r="E73" s="353" t="s">
        <v>480</v>
      </c>
      <c r="F73" s="50" t="s">
        <v>51</v>
      </c>
      <c r="G73" s="35" t="s">
        <v>297</v>
      </c>
      <c r="H73" s="46">
        <f t="shared" si="38"/>
        <v>35.355480573398125</v>
      </c>
      <c r="I73" s="46">
        <f t="shared" si="33"/>
        <v>35.355480573398125</v>
      </c>
      <c r="J73" s="46"/>
      <c r="K73" s="7"/>
      <c r="L73" s="7" t="str">
        <f t="shared" si="34"/>
        <v>ELCBGA</v>
      </c>
      <c r="M73" s="7"/>
      <c r="O73" t="s">
        <v>458</v>
      </c>
      <c r="P73" t="s">
        <v>8</v>
      </c>
      <c r="Q73">
        <v>2050</v>
      </c>
      <c r="R73" s="53" t="s">
        <v>183</v>
      </c>
      <c r="S73" s="53" t="s">
        <v>51</v>
      </c>
      <c r="T73" s="30" t="s">
        <v>297</v>
      </c>
      <c r="U73" s="38">
        <f t="shared" ref="U73" si="58">HLOOKUP(X73,FuelTax2,Q73-2006,FALSE)*$B$10</f>
        <v>32.94</v>
      </c>
      <c r="V73" s="38">
        <f t="shared" ref="V73" si="59">U73</f>
        <v>32.94</v>
      </c>
      <c r="X73" t="str">
        <f t="shared" si="54"/>
        <v>ELCBGA</v>
      </c>
    </row>
    <row r="74" spans="2:24" ht="13.8">
      <c r="B74" t="s">
        <v>458</v>
      </c>
      <c r="C74" t="s">
        <v>8</v>
      </c>
      <c r="D74">
        <v>2025</v>
      </c>
      <c r="E74" s="282" t="s">
        <v>163</v>
      </c>
      <c r="F74" s="53" t="s">
        <v>72</v>
      </c>
      <c r="G74" s="30" t="s">
        <v>297</v>
      </c>
      <c r="H74" s="38">
        <f>HLOOKUP(L74,FuelTax2,D74-2006,FALSE)*$B$10-M74</f>
        <v>-10.044166666666666</v>
      </c>
      <c r="I74" s="38">
        <f t="shared" si="33"/>
        <v>-10.044166666666666</v>
      </c>
      <c r="J74" s="38"/>
      <c r="L74" t="str">
        <f t="shared" si="34"/>
        <v>ELCWPE</v>
      </c>
      <c r="M74">
        <f>IF(D74&lt;'Sub_CHP-Bio'!$D$20,'TAX_CHP_MultiFuel-NEW'!M16,0)</f>
        <v>10.044166666666666</v>
      </c>
    </row>
    <row r="75" spans="2:24" ht="13.8">
      <c r="B75" t="s">
        <v>458</v>
      </c>
      <c r="C75" t="s">
        <v>8</v>
      </c>
      <c r="D75">
        <v>2025</v>
      </c>
      <c r="E75" s="282" t="s">
        <v>163</v>
      </c>
      <c r="F75" s="53" t="s">
        <v>52</v>
      </c>
      <c r="G75" s="30" t="s">
        <v>297</v>
      </c>
      <c r="H75" s="38">
        <f t="shared" ref="H75:H76" si="60">HLOOKUP(L75,FuelTax2,D75-2006,FALSE)*$B$10-M75</f>
        <v>-10.044166666666666</v>
      </c>
      <c r="I75" s="38">
        <f t="shared" si="33"/>
        <v>-10.044166666666666</v>
      </c>
      <c r="J75" s="38"/>
      <c r="L75" t="str">
        <f t="shared" si="34"/>
        <v>ELCSTR</v>
      </c>
      <c r="M75">
        <f>IF(D75&lt;'Sub_CHP-Bio'!$D$20,'TAX_CHP_MultiFuel-NEW'!M17,0)</f>
        <v>10.044166666666666</v>
      </c>
    </row>
    <row r="76" spans="2:24" ht="13.8">
      <c r="B76" t="s">
        <v>458</v>
      </c>
      <c r="C76" t="s">
        <v>8</v>
      </c>
      <c r="D76">
        <v>2025</v>
      </c>
      <c r="E76" s="282" t="s">
        <v>163</v>
      </c>
      <c r="F76" s="53" t="s">
        <v>51</v>
      </c>
      <c r="G76" s="30" t="s">
        <v>297</v>
      </c>
      <c r="H76" s="38">
        <f t="shared" si="60"/>
        <v>32.94</v>
      </c>
      <c r="I76" s="38">
        <f t="shared" si="33"/>
        <v>32.94</v>
      </c>
      <c r="J76" s="38"/>
      <c r="L76" t="str">
        <f t="shared" si="34"/>
        <v>ELCBGA</v>
      </c>
      <c r="M76">
        <f>IF(D76&lt;'Sub_CHP-Bio'!$D$20,'TAX_CHP_MultiFuel-NEW'!M18,0)</f>
        <v>0</v>
      </c>
    </row>
    <row r="77" spans="2:24" ht="13.8">
      <c r="B77" t="s">
        <v>458</v>
      </c>
      <c r="C77" t="s">
        <v>8</v>
      </c>
      <c r="D77">
        <v>2025</v>
      </c>
      <c r="E77" s="282" t="s">
        <v>164</v>
      </c>
      <c r="F77" s="53" t="s">
        <v>101</v>
      </c>
      <c r="G77" s="30" t="s">
        <v>297</v>
      </c>
      <c r="H77" s="38">
        <f>HLOOKUP(L77,FuelTax2,D77-2006,FALSE)*$B$10-M77</f>
        <v>32.94</v>
      </c>
      <c r="I77" s="38">
        <f t="shared" si="33"/>
        <v>32.94</v>
      </c>
      <c r="J77" s="38"/>
      <c r="L77" t="str">
        <f t="shared" si="34"/>
        <v>ELCCOA</v>
      </c>
      <c r="M77">
        <f>IF(D77&lt;'Sub_CHP-Bio'!$D$20,'TAX_CHP_MultiFuel-NEW'!M19,0)</f>
        <v>0</v>
      </c>
    </row>
    <row r="78" spans="2:24" ht="13.8">
      <c r="B78" t="s">
        <v>458</v>
      </c>
      <c r="C78" t="s">
        <v>8</v>
      </c>
      <c r="D78">
        <v>2025</v>
      </c>
      <c r="E78" s="282" t="s">
        <v>164</v>
      </c>
      <c r="F78" s="53" t="s">
        <v>72</v>
      </c>
      <c r="G78" s="30" t="s">
        <v>297</v>
      </c>
      <c r="H78" s="38">
        <f t="shared" ref="H78" si="61">HLOOKUP(L78,FuelTax2,D78-2006,FALSE)*$B$10-M78</f>
        <v>-4.8104166666666668</v>
      </c>
      <c r="I78" s="38">
        <f t="shared" si="33"/>
        <v>-4.8104166666666668</v>
      </c>
      <c r="J78" s="38"/>
      <c r="L78" t="str">
        <f t="shared" si="34"/>
        <v>ELCWPE</v>
      </c>
      <c r="M78">
        <f>IF(D78&lt;'Sub_CHP-Bio'!$D$20,'TAX_CHP_MultiFuel-NEW'!M20,0)</f>
        <v>4.8104166666666668</v>
      </c>
    </row>
    <row r="79" spans="2:24" ht="13.8">
      <c r="B79" t="s">
        <v>458</v>
      </c>
      <c r="C79" t="s">
        <v>8</v>
      </c>
      <c r="D79">
        <v>2025</v>
      </c>
      <c r="E79" s="282" t="s">
        <v>164</v>
      </c>
      <c r="F79" s="53" t="s">
        <v>132</v>
      </c>
      <c r="G79" s="30" t="s">
        <v>297</v>
      </c>
      <c r="H79" s="38">
        <f>HLOOKUP(L79,FuelTax2,D79-2006,FALSE)*$B$10-M79</f>
        <v>-4.8104166666666668</v>
      </c>
      <c r="I79" s="38">
        <f t="shared" si="33"/>
        <v>-4.8104166666666668</v>
      </c>
      <c r="J79" s="38"/>
      <c r="L79" t="str">
        <f t="shared" si="34"/>
        <v>ELCWCH</v>
      </c>
      <c r="M79">
        <f>IF(D79&lt;'Sub_CHP-Bio'!$D$20,'TAX_CHP_MultiFuel-NEW'!M21,0)</f>
        <v>4.8104166666666668</v>
      </c>
    </row>
    <row r="80" spans="2:24" ht="13.8">
      <c r="B80" t="s">
        <v>458</v>
      </c>
      <c r="C80" t="s">
        <v>8</v>
      </c>
      <c r="D80">
        <v>2025</v>
      </c>
      <c r="E80" s="282" t="s">
        <v>165</v>
      </c>
      <c r="F80" s="53" t="s">
        <v>11</v>
      </c>
      <c r="G80" s="30" t="s">
        <v>297</v>
      </c>
      <c r="H80" s="38">
        <f t="shared" ref="H80:H131" si="62">HLOOKUP(L80,FuelTax2,D80-2006,FALSE)*$B$10-M80</f>
        <v>19.197295081967212</v>
      </c>
      <c r="I80" s="38">
        <f t="shared" si="33"/>
        <v>19.197295081967212</v>
      </c>
      <c r="J80" s="38"/>
      <c r="L80" t="str">
        <f t="shared" si="34"/>
        <v>ELCWST</v>
      </c>
      <c r="M80">
        <f>IF(D80&lt;'Sub_CHP-Bio'!$D$20,'TAX_CHP_MultiFuel-NEW'!M22,0)</f>
        <v>0</v>
      </c>
    </row>
    <row r="81" spans="2:13" ht="13.8">
      <c r="B81" t="s">
        <v>458</v>
      </c>
      <c r="C81" t="s">
        <v>8</v>
      </c>
      <c r="D81">
        <v>2025</v>
      </c>
      <c r="E81" s="282" t="s">
        <v>166</v>
      </c>
      <c r="F81" s="53" t="s">
        <v>11</v>
      </c>
      <c r="G81" s="30" t="s">
        <v>297</v>
      </c>
      <c r="H81" s="38">
        <f t="shared" si="62"/>
        <v>19.197295081967212</v>
      </c>
      <c r="I81" s="38">
        <f t="shared" si="33"/>
        <v>19.197295081967212</v>
      </c>
      <c r="J81" s="38"/>
      <c r="L81" t="str">
        <f t="shared" si="34"/>
        <v>ELCWST</v>
      </c>
      <c r="M81">
        <f>IF(D81&lt;'Sub_CHP-Bio'!$D$20,'TAX_CHP_MultiFuel-NEW'!M23,0)</f>
        <v>0</v>
      </c>
    </row>
    <row r="82" spans="2:13" ht="13.8">
      <c r="B82" t="s">
        <v>458</v>
      </c>
      <c r="C82" t="s">
        <v>8</v>
      </c>
      <c r="D82">
        <v>2025</v>
      </c>
      <c r="E82" s="282" t="s">
        <v>166</v>
      </c>
      <c r="F82" s="53" t="s">
        <v>52</v>
      </c>
      <c r="G82" s="30" t="s">
        <v>297</v>
      </c>
      <c r="H82" s="38">
        <f t="shared" si="62"/>
        <v>-5.915</v>
      </c>
      <c r="I82" s="38">
        <f t="shared" si="33"/>
        <v>-5.915</v>
      </c>
      <c r="J82" s="38"/>
      <c r="L82" t="str">
        <f t="shared" si="34"/>
        <v>ELCSTR</v>
      </c>
      <c r="M82">
        <f>IF(D82&lt;'Sub_CHP-Bio'!$D$20,'TAX_CHP_MultiFuel-NEW'!M24,0)</f>
        <v>5.915</v>
      </c>
    </row>
    <row r="83" spans="2:13" ht="13.8">
      <c r="B83" t="s">
        <v>458</v>
      </c>
      <c r="C83" t="s">
        <v>8</v>
      </c>
      <c r="D83">
        <v>2025</v>
      </c>
      <c r="E83" s="287" t="s">
        <v>168</v>
      </c>
      <c r="F83" s="53" t="s">
        <v>70</v>
      </c>
      <c r="G83" s="30" t="s">
        <v>297</v>
      </c>
      <c r="H83" s="38">
        <f t="shared" si="62"/>
        <v>45.12</v>
      </c>
      <c r="I83" s="38">
        <f t="shared" si="33"/>
        <v>45.12</v>
      </c>
      <c r="J83" s="38"/>
      <c r="L83" t="str">
        <f t="shared" si="34"/>
        <v>ELCDSL</v>
      </c>
      <c r="M83">
        <f>IF(D83&lt;'Sub_CHP-Bio'!$D$20,'TAX_CHP_MultiFuel-NEW'!M25,0)</f>
        <v>0</v>
      </c>
    </row>
    <row r="84" spans="2:13" ht="13.8">
      <c r="B84" t="s">
        <v>458</v>
      </c>
      <c r="C84" t="s">
        <v>8</v>
      </c>
      <c r="D84">
        <v>2025</v>
      </c>
      <c r="E84" s="287" t="s">
        <v>168</v>
      </c>
      <c r="F84" s="53" t="s">
        <v>10</v>
      </c>
      <c r="G84" s="30" t="s">
        <v>297</v>
      </c>
      <c r="H84" s="38">
        <f t="shared" si="62"/>
        <v>32.94</v>
      </c>
      <c r="I84" s="38">
        <f t="shared" si="33"/>
        <v>32.94</v>
      </c>
      <c r="J84" s="38"/>
      <c r="L84" t="str">
        <f t="shared" si="34"/>
        <v>ELCHFO</v>
      </c>
      <c r="M84">
        <f>IF(D84&lt;'Sub_CHP-Bio'!$D$20,'TAX_CHP_MultiFuel-NEW'!M26,0)</f>
        <v>0</v>
      </c>
    </row>
    <row r="85" spans="2:13" ht="13.8">
      <c r="B85" t="s">
        <v>458</v>
      </c>
      <c r="C85" t="s">
        <v>8</v>
      </c>
      <c r="D85">
        <v>2025</v>
      </c>
      <c r="E85" s="287" t="s">
        <v>168</v>
      </c>
      <c r="F85" s="53" t="s">
        <v>9</v>
      </c>
      <c r="G85" s="30" t="s">
        <v>297</v>
      </c>
      <c r="H85" s="38">
        <f t="shared" si="62"/>
        <v>32.94</v>
      </c>
      <c r="I85" s="38">
        <f t="shared" si="33"/>
        <v>32.94</v>
      </c>
      <c r="J85" s="38"/>
      <c r="L85" t="str">
        <f t="shared" si="34"/>
        <v>ELCNGA</v>
      </c>
      <c r="M85">
        <f>IF(D85&lt;'Sub_CHP-Bio'!$D$20,'TAX_CHP_MultiFuel-NEW'!M27,0)</f>
        <v>0</v>
      </c>
    </row>
    <row r="86" spans="2:13" ht="13.8">
      <c r="B86" t="s">
        <v>458</v>
      </c>
      <c r="C86" t="s">
        <v>8</v>
      </c>
      <c r="D86">
        <v>2025</v>
      </c>
      <c r="E86" s="287" t="s">
        <v>168</v>
      </c>
      <c r="F86" s="53" t="s">
        <v>131</v>
      </c>
      <c r="G86" s="30" t="s">
        <v>297</v>
      </c>
      <c r="H86" s="38">
        <f t="shared" si="62"/>
        <v>32.94</v>
      </c>
      <c r="I86" s="38">
        <f t="shared" si="33"/>
        <v>32.94</v>
      </c>
      <c r="J86" s="38"/>
      <c r="L86" t="str">
        <f t="shared" si="34"/>
        <v>ELCSNG</v>
      </c>
      <c r="M86">
        <f>IF(D86&lt;'Sub_CHP-Bio'!$D$20,'TAX_CHP_MultiFuel-NEW'!M28,0)</f>
        <v>0</v>
      </c>
    </row>
    <row r="87" spans="2:13" ht="13.8">
      <c r="B87" t="s">
        <v>458</v>
      </c>
      <c r="C87" t="s">
        <v>8</v>
      </c>
      <c r="D87">
        <v>2025</v>
      </c>
      <c r="E87" s="287" t="s">
        <v>169</v>
      </c>
      <c r="F87" s="53" t="s">
        <v>101</v>
      </c>
      <c r="G87" s="30" t="s">
        <v>297</v>
      </c>
      <c r="H87" s="38">
        <f t="shared" si="62"/>
        <v>32.94</v>
      </c>
      <c r="I87" s="38">
        <f t="shared" si="33"/>
        <v>32.94</v>
      </c>
      <c r="J87" s="38"/>
      <c r="L87" t="str">
        <f t="shared" si="34"/>
        <v>ELCCOA</v>
      </c>
      <c r="M87">
        <f>IF(D87&lt;'Sub_CHP-Bio'!$D$20,'TAX_CHP_MultiFuel-NEW'!M29,0)</f>
        <v>0</v>
      </c>
    </row>
    <row r="88" spans="2:13" ht="13.8">
      <c r="B88" t="s">
        <v>458</v>
      </c>
      <c r="C88" t="s">
        <v>8</v>
      </c>
      <c r="D88">
        <v>2025</v>
      </c>
      <c r="E88" s="287" t="s">
        <v>169</v>
      </c>
      <c r="F88" s="53" t="s">
        <v>52</v>
      </c>
      <c r="G88" s="30" t="s">
        <v>297</v>
      </c>
      <c r="H88" s="38">
        <f t="shared" si="62"/>
        <v>-10.314583333333333</v>
      </c>
      <c r="I88" s="38">
        <f t="shared" si="33"/>
        <v>-10.314583333333333</v>
      </c>
      <c r="J88" s="38"/>
      <c r="L88" t="str">
        <f t="shared" si="34"/>
        <v>ELCSTR</v>
      </c>
      <c r="M88">
        <f>IF(D88&lt;'Sub_CHP-Bio'!$D$20,'TAX_CHP_MultiFuel-NEW'!M30,0)</f>
        <v>10.314583333333333</v>
      </c>
    </row>
    <row r="89" spans="2:13" ht="13.8">
      <c r="B89" t="s">
        <v>458</v>
      </c>
      <c r="C89" t="s">
        <v>8</v>
      </c>
      <c r="D89">
        <v>2025</v>
      </c>
      <c r="E89" s="287" t="s">
        <v>171</v>
      </c>
      <c r="F89" s="53" t="s">
        <v>72</v>
      </c>
      <c r="G89" s="30" t="s">
        <v>297</v>
      </c>
      <c r="H89" s="38">
        <f t="shared" si="62"/>
        <v>-7.3033333333333337</v>
      </c>
      <c r="I89" s="38">
        <f t="shared" si="33"/>
        <v>-7.3033333333333337</v>
      </c>
      <c r="J89" s="38"/>
      <c r="L89" t="str">
        <f t="shared" si="34"/>
        <v>ELCWPE</v>
      </c>
      <c r="M89">
        <f>IF(D89&lt;'Sub_CHP-Bio'!$D$20,'TAX_CHP_MultiFuel-NEW'!M31,0)</f>
        <v>7.3033333333333337</v>
      </c>
    </row>
    <row r="90" spans="2:13" ht="13.8">
      <c r="B90" t="s">
        <v>458</v>
      </c>
      <c r="C90" t="s">
        <v>8</v>
      </c>
      <c r="D90">
        <v>2025</v>
      </c>
      <c r="E90" s="282" t="s">
        <v>171</v>
      </c>
      <c r="F90" s="53" t="s">
        <v>132</v>
      </c>
      <c r="G90" s="30" t="s">
        <v>297</v>
      </c>
      <c r="H90" s="38">
        <f t="shared" si="62"/>
        <v>-7.3033333333333337</v>
      </c>
      <c r="I90" s="38">
        <f t="shared" si="33"/>
        <v>-7.3033333333333337</v>
      </c>
      <c r="J90" s="38"/>
      <c r="L90" t="str">
        <f t="shared" si="34"/>
        <v>ELCWCH</v>
      </c>
      <c r="M90">
        <f>IF(D90&lt;'Sub_CHP-Bio'!$D$20,'TAX_CHP_MultiFuel-NEW'!M32,0)</f>
        <v>7.3033333333333337</v>
      </c>
    </row>
    <row r="91" spans="2:13" ht="13.8">
      <c r="B91" t="s">
        <v>458</v>
      </c>
      <c r="C91" t="s">
        <v>8</v>
      </c>
      <c r="D91">
        <v>2025</v>
      </c>
      <c r="E91" s="287" t="s">
        <v>171</v>
      </c>
      <c r="F91" s="53" t="s">
        <v>11</v>
      </c>
      <c r="G91" s="30" t="s">
        <v>297</v>
      </c>
      <c r="H91" s="38">
        <f t="shared" si="62"/>
        <v>19.197295081967212</v>
      </c>
      <c r="I91" s="38">
        <f t="shared" si="33"/>
        <v>19.197295081967212</v>
      </c>
      <c r="J91" s="38"/>
      <c r="L91" t="str">
        <f t="shared" si="34"/>
        <v>ELCWST</v>
      </c>
      <c r="M91">
        <f>IF(D91&lt;'Sub_CHP-Bio'!$D$20,'TAX_CHP_MultiFuel-NEW'!M33,0)</f>
        <v>0</v>
      </c>
    </row>
    <row r="92" spans="2:13" ht="13.8">
      <c r="B92" t="s">
        <v>458</v>
      </c>
      <c r="C92" t="s">
        <v>8</v>
      </c>
      <c r="D92">
        <v>2025</v>
      </c>
      <c r="E92" s="287" t="s">
        <v>165</v>
      </c>
      <c r="F92" s="283" t="s">
        <v>474</v>
      </c>
      <c r="G92" s="30" t="s">
        <v>297</v>
      </c>
      <c r="H92" s="38">
        <f t="shared" si="62"/>
        <v>32.94</v>
      </c>
      <c r="I92" s="38">
        <f t="shared" si="33"/>
        <v>32.94</v>
      </c>
      <c r="J92" s="38"/>
      <c r="L92" t="str">
        <f>IF(LEFT(F92,1)="E",F92,"ELC"&amp;F92)</f>
        <v>ELCGAS</v>
      </c>
      <c r="M92">
        <f>IF(D92&lt;'Sub_CHP-Bio'!$D$20,'TAX_CHP_MultiFuel-NEW'!M34,0)</f>
        <v>0</v>
      </c>
    </row>
    <row r="93" spans="2:13" ht="13.8">
      <c r="B93" t="s">
        <v>458</v>
      </c>
      <c r="C93" t="s">
        <v>8</v>
      </c>
      <c r="D93">
        <v>2025</v>
      </c>
      <c r="E93" s="287" t="s">
        <v>165</v>
      </c>
      <c r="F93" s="283" t="s">
        <v>11</v>
      </c>
      <c r="G93" s="30" t="s">
        <v>297</v>
      </c>
      <c r="H93" s="38">
        <f t="shared" si="62"/>
        <v>19.197295081967212</v>
      </c>
      <c r="I93" s="38">
        <f t="shared" si="33"/>
        <v>19.197295081967212</v>
      </c>
      <c r="J93" s="38"/>
      <c r="L93" t="str">
        <f t="shared" ref="L93:L149" si="63">IF(LEFT(F93,1)="E",F93,"ELC"&amp;F93)</f>
        <v>ELCWST</v>
      </c>
      <c r="M93">
        <f>IF(D93&lt;'Sub_CHP-Bio'!$D$20,'TAX_CHP_MultiFuel-NEW'!M35,0)</f>
        <v>0</v>
      </c>
    </row>
    <row r="94" spans="2:13" ht="13.8">
      <c r="B94" t="s">
        <v>458</v>
      </c>
      <c r="C94" t="s">
        <v>8</v>
      </c>
      <c r="D94">
        <v>2025</v>
      </c>
      <c r="E94" s="287" t="s">
        <v>165</v>
      </c>
      <c r="F94" s="283" t="s">
        <v>51</v>
      </c>
      <c r="G94" s="30" t="s">
        <v>297</v>
      </c>
      <c r="H94" s="38">
        <f t="shared" si="62"/>
        <v>32.94</v>
      </c>
      <c r="I94" s="38">
        <f t="shared" si="33"/>
        <v>32.94</v>
      </c>
      <c r="J94" s="38"/>
      <c r="L94" t="str">
        <f t="shared" si="63"/>
        <v>ELCBGA</v>
      </c>
      <c r="M94">
        <f>IF(D94&lt;'Sub_CHP-Bio'!$D$20,'TAX_CHP_MultiFuel-NEW'!M36,0)</f>
        <v>0</v>
      </c>
    </row>
    <row r="95" spans="2:13" ht="13.8">
      <c r="B95" t="s">
        <v>458</v>
      </c>
      <c r="C95" t="s">
        <v>8</v>
      </c>
      <c r="D95">
        <v>2025</v>
      </c>
      <c r="E95" s="287" t="s">
        <v>100</v>
      </c>
      <c r="F95" s="53" t="s">
        <v>101</v>
      </c>
      <c r="G95" s="30" t="s">
        <v>297</v>
      </c>
      <c r="H95" s="38">
        <f t="shared" si="62"/>
        <v>32.94</v>
      </c>
      <c r="I95" s="38">
        <f t="shared" si="33"/>
        <v>32.94</v>
      </c>
      <c r="J95" s="38"/>
      <c r="L95" t="str">
        <f t="shared" si="63"/>
        <v>ELCCOA</v>
      </c>
      <c r="M95">
        <f>IF(D95&lt;'Sub_CHP-Bio'!$D$20,'TAX_CHP_MultiFuel-NEW'!M37,0)</f>
        <v>0</v>
      </c>
    </row>
    <row r="96" spans="2:13" ht="13.8">
      <c r="B96" t="s">
        <v>458</v>
      </c>
      <c r="C96" t="s">
        <v>8</v>
      </c>
      <c r="D96">
        <v>2025</v>
      </c>
      <c r="E96" s="287" t="s">
        <v>100</v>
      </c>
      <c r="F96" s="53" t="s">
        <v>52</v>
      </c>
      <c r="G96" s="30" t="s">
        <v>297</v>
      </c>
      <c r="H96" s="38">
        <f t="shared" si="62"/>
        <v>-6.2787499999999996</v>
      </c>
      <c r="I96" s="38">
        <f t="shared" si="33"/>
        <v>-6.2787499999999996</v>
      </c>
      <c r="J96" s="38"/>
      <c r="L96" t="str">
        <f t="shared" si="63"/>
        <v>ELCSTR</v>
      </c>
      <c r="M96">
        <f>IF(D96&lt;'Sub_CHP-Bio'!$D$20,'TAX_CHP_MultiFuel-NEW'!M38,0)</f>
        <v>6.2787499999999996</v>
      </c>
    </row>
    <row r="97" spans="2:13" ht="13.8">
      <c r="B97" t="s">
        <v>458</v>
      </c>
      <c r="C97" t="s">
        <v>8</v>
      </c>
      <c r="D97">
        <v>2025</v>
      </c>
      <c r="E97" s="287" t="s">
        <v>172</v>
      </c>
      <c r="F97" s="53" t="s">
        <v>72</v>
      </c>
      <c r="G97" s="30" t="s">
        <v>297</v>
      </c>
      <c r="H97" s="38">
        <f t="shared" si="62"/>
        <v>-10.2125</v>
      </c>
      <c r="I97" s="38">
        <f t="shared" si="33"/>
        <v>-10.2125</v>
      </c>
      <c r="J97" s="38"/>
      <c r="L97" t="str">
        <f t="shared" si="63"/>
        <v>ELCWPE</v>
      </c>
      <c r="M97">
        <f>IF(D97&lt;'Sub_CHP-Bio'!$D$20,'TAX_CHP_MultiFuel-NEW'!M39,0)</f>
        <v>10.2125</v>
      </c>
    </row>
    <row r="98" spans="2:13" ht="13.8">
      <c r="B98" t="s">
        <v>458</v>
      </c>
      <c r="C98" t="s">
        <v>8</v>
      </c>
      <c r="D98">
        <v>2025</v>
      </c>
      <c r="E98" s="287" t="s">
        <v>172</v>
      </c>
      <c r="F98" s="53" t="s">
        <v>132</v>
      </c>
      <c r="G98" s="30" t="s">
        <v>297</v>
      </c>
      <c r="H98" s="38">
        <f t="shared" si="62"/>
        <v>-10.2125</v>
      </c>
      <c r="I98" s="38">
        <f t="shared" si="33"/>
        <v>-10.2125</v>
      </c>
      <c r="J98" s="38"/>
      <c r="L98" t="str">
        <f t="shared" si="63"/>
        <v>ELCWCH</v>
      </c>
      <c r="M98">
        <f>IF(D98&lt;'Sub_CHP-Bio'!$D$20,'TAX_CHP_MultiFuel-NEW'!M40,0)</f>
        <v>10.2125</v>
      </c>
    </row>
    <row r="99" spans="2:13" ht="13.8">
      <c r="B99" t="s">
        <v>458</v>
      </c>
      <c r="C99" t="s">
        <v>8</v>
      </c>
      <c r="D99">
        <v>2025</v>
      </c>
      <c r="E99" s="287" t="s">
        <v>172</v>
      </c>
      <c r="F99" s="53" t="s">
        <v>474</v>
      </c>
      <c r="G99" s="30" t="s">
        <v>297</v>
      </c>
      <c r="H99" s="38">
        <f t="shared" si="62"/>
        <v>32.94</v>
      </c>
      <c r="I99" s="38">
        <f t="shared" si="33"/>
        <v>32.94</v>
      </c>
      <c r="J99" s="38"/>
      <c r="L99" t="str">
        <f t="shared" si="63"/>
        <v>ELCGAS</v>
      </c>
      <c r="M99">
        <f>IF(D99&lt;'Sub_CHP-Bio'!$D$20,'TAX_CHP_MultiFuel-NEW'!M41,0)</f>
        <v>0</v>
      </c>
    </row>
    <row r="100" spans="2:13" ht="13.8">
      <c r="B100" t="s">
        <v>458</v>
      </c>
      <c r="C100" t="s">
        <v>8</v>
      </c>
      <c r="D100">
        <v>2025</v>
      </c>
      <c r="E100" s="287" t="s">
        <v>172</v>
      </c>
      <c r="F100" s="53" t="s">
        <v>51</v>
      </c>
      <c r="G100" s="30" t="s">
        <v>297</v>
      </c>
      <c r="H100" s="38">
        <f t="shared" si="62"/>
        <v>32.94</v>
      </c>
      <c r="I100" s="38">
        <f t="shared" si="33"/>
        <v>32.94</v>
      </c>
      <c r="J100" s="38"/>
      <c r="L100" t="str">
        <f t="shared" si="63"/>
        <v>ELCBGA</v>
      </c>
      <c r="M100">
        <f>IF(D100&lt;'Sub_CHP-Bio'!$D$20,'TAX_CHP_MultiFuel-NEW'!M42,0)</f>
        <v>0</v>
      </c>
    </row>
    <row r="101" spans="2:13" ht="13.8">
      <c r="B101" t="s">
        <v>458</v>
      </c>
      <c r="C101" s="7" t="s">
        <v>8</v>
      </c>
      <c r="D101">
        <v>2025</v>
      </c>
      <c r="E101" s="287" t="s">
        <v>173</v>
      </c>
      <c r="F101" s="53" t="s">
        <v>72</v>
      </c>
      <c r="G101" s="30" t="s">
        <v>297</v>
      </c>
      <c r="H101" s="38">
        <f t="shared" si="62"/>
        <v>-5.375</v>
      </c>
      <c r="I101" s="38">
        <f t="shared" si="33"/>
        <v>-5.375</v>
      </c>
      <c r="J101" s="38"/>
      <c r="L101" t="str">
        <f t="shared" si="63"/>
        <v>ELCWPE</v>
      </c>
      <c r="M101">
        <f>IF(D101&lt;'Sub_CHP-Bio'!$D$20,'TAX_CHP_MultiFuel-NEW'!M43,0)</f>
        <v>5.375</v>
      </c>
    </row>
    <row r="102" spans="2:13" ht="13.8">
      <c r="B102" t="s">
        <v>458</v>
      </c>
      <c r="C102" t="s">
        <v>8</v>
      </c>
      <c r="D102">
        <v>2025</v>
      </c>
      <c r="E102" s="287" t="s">
        <v>173</v>
      </c>
      <c r="F102" s="53" t="s">
        <v>132</v>
      </c>
      <c r="G102" s="30" t="s">
        <v>297</v>
      </c>
      <c r="H102" s="38">
        <f t="shared" si="62"/>
        <v>-5.375</v>
      </c>
      <c r="I102" s="38">
        <f t="shared" si="33"/>
        <v>-5.375</v>
      </c>
      <c r="J102" s="38"/>
      <c r="L102" t="str">
        <f t="shared" si="63"/>
        <v>ELCWCH</v>
      </c>
      <c r="M102">
        <f>IF(D102&lt;'Sub_CHP-Bio'!$D$20,'TAX_CHP_MultiFuel-NEW'!M44,0)</f>
        <v>5.375</v>
      </c>
    </row>
    <row r="103" spans="2:13" ht="13.8">
      <c r="B103" t="s">
        <v>458</v>
      </c>
      <c r="C103" t="s">
        <v>8</v>
      </c>
      <c r="D103">
        <v>2025</v>
      </c>
      <c r="E103" s="287" t="s">
        <v>173</v>
      </c>
      <c r="F103" s="53" t="s">
        <v>11</v>
      </c>
      <c r="G103" s="30" t="s">
        <v>297</v>
      </c>
      <c r="H103" s="38">
        <f t="shared" si="62"/>
        <v>19.197295081967212</v>
      </c>
      <c r="I103" s="38">
        <f t="shared" si="33"/>
        <v>19.197295081967212</v>
      </c>
      <c r="J103" s="38"/>
      <c r="L103" t="str">
        <f t="shared" si="63"/>
        <v>ELCWST</v>
      </c>
      <c r="M103">
        <f>IF(D103&lt;'Sub_CHP-Bio'!$D$20,'TAX_CHP_MultiFuel-NEW'!M45,0)</f>
        <v>0</v>
      </c>
    </row>
    <row r="104" spans="2:13" ht="13.8">
      <c r="B104" t="s">
        <v>458</v>
      </c>
      <c r="C104" t="s">
        <v>8</v>
      </c>
      <c r="D104">
        <v>2025</v>
      </c>
      <c r="E104" s="287" t="s">
        <v>174</v>
      </c>
      <c r="F104" s="53" t="s">
        <v>11</v>
      </c>
      <c r="G104" s="30" t="s">
        <v>297</v>
      </c>
      <c r="H104" s="38">
        <f t="shared" si="62"/>
        <v>19.197295081967212</v>
      </c>
      <c r="I104" s="38">
        <f t="shared" si="33"/>
        <v>19.197295081967212</v>
      </c>
      <c r="J104" s="38"/>
      <c r="L104" t="str">
        <f t="shared" si="63"/>
        <v>ELCWST</v>
      </c>
      <c r="M104">
        <f>IF(D104&lt;'Sub_CHP-Bio'!$D$20,'TAX_CHP_MultiFuel-NEW'!M46,0)</f>
        <v>0</v>
      </c>
    </row>
    <row r="105" spans="2:13" ht="13.8">
      <c r="B105" t="s">
        <v>458</v>
      </c>
      <c r="C105" t="s">
        <v>8</v>
      </c>
      <c r="D105">
        <v>2025</v>
      </c>
      <c r="E105" s="287" t="s">
        <v>174</v>
      </c>
      <c r="F105" s="53" t="s">
        <v>52</v>
      </c>
      <c r="G105" s="30" t="s">
        <v>297</v>
      </c>
      <c r="H105" s="38">
        <f t="shared" si="62"/>
        <v>-7.2312500000000002</v>
      </c>
      <c r="I105" s="38">
        <f t="shared" si="33"/>
        <v>-7.2312500000000002</v>
      </c>
      <c r="J105" s="38"/>
      <c r="L105" t="str">
        <f t="shared" si="63"/>
        <v>ELCSTR</v>
      </c>
      <c r="M105">
        <f>IF(D105&lt;'Sub_CHP-Bio'!$D$20,'TAX_CHP_MultiFuel-NEW'!M47,0)</f>
        <v>7.2312500000000002</v>
      </c>
    </row>
    <row r="106" spans="2:13" ht="13.8">
      <c r="B106" t="s">
        <v>458</v>
      </c>
      <c r="C106" t="s">
        <v>8</v>
      </c>
      <c r="D106">
        <v>2025</v>
      </c>
      <c r="E106" s="287" t="s">
        <v>174</v>
      </c>
      <c r="F106" s="53" t="s">
        <v>132</v>
      </c>
      <c r="G106" s="30" t="s">
        <v>297</v>
      </c>
      <c r="H106" s="38">
        <f t="shared" si="62"/>
        <v>-7.2312500000000002</v>
      </c>
      <c r="I106" s="38">
        <f t="shared" si="33"/>
        <v>-7.2312500000000002</v>
      </c>
      <c r="J106" s="38"/>
      <c r="L106" t="str">
        <f t="shared" si="63"/>
        <v>ELCWCH</v>
      </c>
      <c r="M106">
        <f>IF(D106&lt;'Sub_CHP-Bio'!$D$20,'TAX_CHP_MultiFuel-NEW'!M48,0)</f>
        <v>7.2312500000000002</v>
      </c>
    </row>
    <row r="107" spans="2:13" ht="13.8">
      <c r="B107" t="s">
        <v>458</v>
      </c>
      <c r="C107" t="s">
        <v>8</v>
      </c>
      <c r="D107">
        <v>2025</v>
      </c>
      <c r="E107" s="287" t="s">
        <v>174</v>
      </c>
      <c r="F107" s="53" t="s">
        <v>474</v>
      </c>
      <c r="G107" s="30" t="s">
        <v>297</v>
      </c>
      <c r="H107" s="38">
        <f t="shared" si="62"/>
        <v>32.94</v>
      </c>
      <c r="I107" s="38">
        <f t="shared" si="33"/>
        <v>32.94</v>
      </c>
      <c r="J107" s="38"/>
      <c r="L107" t="str">
        <f t="shared" si="63"/>
        <v>ELCGAS</v>
      </c>
      <c r="M107">
        <f>IF(D107&lt;'Sub_CHP-Bio'!$D$20,'TAX_CHP_MultiFuel-NEW'!M49,0)</f>
        <v>0</v>
      </c>
    </row>
    <row r="108" spans="2:13" ht="13.8">
      <c r="B108" t="s">
        <v>458</v>
      </c>
      <c r="C108" t="s">
        <v>8</v>
      </c>
      <c r="D108">
        <v>2025</v>
      </c>
      <c r="E108" s="287" t="s">
        <v>174</v>
      </c>
      <c r="F108" s="53" t="s">
        <v>51</v>
      </c>
      <c r="G108" s="30" t="s">
        <v>297</v>
      </c>
      <c r="H108" s="38">
        <f t="shared" si="62"/>
        <v>32.94</v>
      </c>
      <c r="I108" s="38">
        <f t="shared" si="33"/>
        <v>32.94</v>
      </c>
      <c r="J108" s="38"/>
      <c r="L108" t="str">
        <f t="shared" si="63"/>
        <v>ELCBGA</v>
      </c>
      <c r="M108">
        <f>IF(D108&lt;'Sub_CHP-Bio'!$D$20,'TAX_CHP_MultiFuel-NEW'!M50,0)</f>
        <v>0</v>
      </c>
    </row>
    <row r="109" spans="2:13" ht="13.8">
      <c r="B109" t="s">
        <v>458</v>
      </c>
      <c r="C109" t="s">
        <v>8</v>
      </c>
      <c r="D109">
        <v>2025</v>
      </c>
      <c r="E109" s="288" t="s">
        <v>476</v>
      </c>
      <c r="F109" s="283" t="s">
        <v>72</v>
      </c>
      <c r="G109" s="30" t="s">
        <v>297</v>
      </c>
      <c r="H109" s="38">
        <f t="shared" si="62"/>
        <v>-7.2807394534093586</v>
      </c>
      <c r="I109" s="38">
        <f>H109</f>
        <v>-7.2807394534093586</v>
      </c>
      <c r="J109" s="38"/>
      <c r="L109" t="str">
        <f t="shared" si="63"/>
        <v>ELCWPE</v>
      </c>
      <c r="M109">
        <f>IF(D109&lt;'Sub_CHP-Bio'!$D$20,'TAX_CHP_MultiFuel-NEW'!M51,0)</f>
        <v>7.2807394534093586</v>
      </c>
    </row>
    <row r="110" spans="2:13" ht="13.8">
      <c r="B110" t="s">
        <v>458</v>
      </c>
      <c r="C110" t="s">
        <v>8</v>
      </c>
      <c r="D110">
        <v>2025</v>
      </c>
      <c r="E110" s="288" t="s">
        <v>476</v>
      </c>
      <c r="F110" s="283" t="s">
        <v>132</v>
      </c>
      <c r="G110" s="30" t="s">
        <v>297</v>
      </c>
      <c r="H110" s="38">
        <f t="shared" si="62"/>
        <v>-7.2807394534093586</v>
      </c>
      <c r="I110" s="38">
        <f t="shared" ref="I110:I166" si="64">H110</f>
        <v>-7.2807394534093586</v>
      </c>
      <c r="J110" s="38"/>
      <c r="L110" t="str">
        <f t="shared" si="63"/>
        <v>ELCWCH</v>
      </c>
      <c r="M110">
        <f>IF(D110&lt;'Sub_CHP-Bio'!$D$20,'TAX_CHP_MultiFuel-NEW'!M52,0)</f>
        <v>7.2807394534093586</v>
      </c>
    </row>
    <row r="111" spans="2:13" ht="13.8">
      <c r="B111" t="s">
        <v>458</v>
      </c>
      <c r="C111" t="s">
        <v>8</v>
      </c>
      <c r="D111">
        <v>2025</v>
      </c>
      <c r="E111" s="288" t="s">
        <v>476</v>
      </c>
      <c r="F111" s="283" t="s">
        <v>11</v>
      </c>
      <c r="G111" s="30" t="s">
        <v>297</v>
      </c>
      <c r="H111" s="38">
        <f t="shared" si="62"/>
        <v>19.197295081967212</v>
      </c>
      <c r="I111" s="38">
        <f t="shared" si="64"/>
        <v>19.197295081967212</v>
      </c>
      <c r="J111" s="38"/>
      <c r="L111" t="str">
        <f t="shared" si="63"/>
        <v>ELCWST</v>
      </c>
      <c r="M111">
        <f>IF(D111&lt;'Sub_CHP-Bio'!$D$20,'TAX_CHP_MultiFuel-NEW'!M53,0)</f>
        <v>0</v>
      </c>
    </row>
    <row r="112" spans="2:13" ht="13.8">
      <c r="B112" t="s">
        <v>458</v>
      </c>
      <c r="C112" t="s">
        <v>8</v>
      </c>
      <c r="D112">
        <v>2025</v>
      </c>
      <c r="E112" s="282" t="s">
        <v>175</v>
      </c>
      <c r="F112" s="53" t="s">
        <v>101</v>
      </c>
      <c r="G112" s="30" t="s">
        <v>297</v>
      </c>
      <c r="H112" s="38">
        <f t="shared" si="62"/>
        <v>32.94</v>
      </c>
      <c r="I112" s="38">
        <f t="shared" si="64"/>
        <v>32.94</v>
      </c>
      <c r="J112" s="38"/>
      <c r="L112" t="str">
        <f t="shared" si="63"/>
        <v>ELCCOA</v>
      </c>
      <c r="M112">
        <f>IF(D112&lt;'Sub_CHP-Bio'!$D$20,'TAX_CHP_MultiFuel-NEW'!M54,0)</f>
        <v>0</v>
      </c>
    </row>
    <row r="113" spans="2:13" ht="13.8">
      <c r="B113" t="s">
        <v>458</v>
      </c>
      <c r="C113" t="s">
        <v>8</v>
      </c>
      <c r="D113">
        <v>2025</v>
      </c>
      <c r="E113" s="282" t="s">
        <v>175</v>
      </c>
      <c r="F113" s="53" t="s">
        <v>72</v>
      </c>
      <c r="G113" s="30" t="s">
        <v>297</v>
      </c>
      <c r="H113" s="38">
        <f t="shared" si="62"/>
        <v>-10.583333333333336</v>
      </c>
      <c r="I113" s="38">
        <f t="shared" si="64"/>
        <v>-10.583333333333336</v>
      </c>
      <c r="J113" s="38"/>
      <c r="L113" t="str">
        <f t="shared" si="63"/>
        <v>ELCWPE</v>
      </c>
      <c r="M113">
        <f>IF(D113&lt;'Sub_CHP-Bio'!$D$20,'TAX_CHP_MultiFuel-NEW'!M55,0)</f>
        <v>10.583333333333336</v>
      </c>
    </row>
    <row r="114" spans="2:13" ht="13.8">
      <c r="B114" t="s">
        <v>458</v>
      </c>
      <c r="C114" t="s">
        <v>8</v>
      </c>
      <c r="D114">
        <v>2025</v>
      </c>
      <c r="E114" s="282" t="s">
        <v>176</v>
      </c>
      <c r="F114" s="53" t="s">
        <v>11</v>
      </c>
      <c r="G114" s="30" t="s">
        <v>297</v>
      </c>
      <c r="H114" s="38">
        <f t="shared" si="62"/>
        <v>19.197295081967212</v>
      </c>
      <c r="I114" s="38">
        <f t="shared" si="64"/>
        <v>19.197295081967212</v>
      </c>
      <c r="J114" s="38"/>
      <c r="L114" t="str">
        <f t="shared" si="63"/>
        <v>ELCWST</v>
      </c>
      <c r="M114">
        <f>IF(D114&lt;'Sub_CHP-Bio'!$D$20,'TAX_CHP_MultiFuel-NEW'!M56,0)</f>
        <v>0</v>
      </c>
    </row>
    <row r="115" spans="2:13" ht="13.8">
      <c r="B115" t="s">
        <v>458</v>
      </c>
      <c r="C115" t="s">
        <v>8</v>
      </c>
      <c r="D115">
        <v>2025</v>
      </c>
      <c r="E115" s="282" t="s">
        <v>176</v>
      </c>
      <c r="F115" s="53" t="s">
        <v>52</v>
      </c>
      <c r="G115" s="30" t="s">
        <v>297</v>
      </c>
      <c r="H115" s="38">
        <f t="shared" si="62"/>
        <v>-5.915</v>
      </c>
      <c r="I115" s="38">
        <f t="shared" si="64"/>
        <v>-5.915</v>
      </c>
      <c r="J115" s="38"/>
      <c r="L115" t="str">
        <f t="shared" si="63"/>
        <v>ELCSTR</v>
      </c>
      <c r="M115">
        <f>IF(D115&lt;'Sub_CHP-Bio'!$D$20,'TAX_CHP_MultiFuel-NEW'!M57,0)</f>
        <v>5.915</v>
      </c>
    </row>
    <row r="116" spans="2:13" ht="13.8">
      <c r="B116" t="s">
        <v>458</v>
      </c>
      <c r="C116" t="s">
        <v>8</v>
      </c>
      <c r="D116">
        <v>2025</v>
      </c>
      <c r="E116" s="287" t="s">
        <v>178</v>
      </c>
      <c r="F116" s="283" t="s">
        <v>474</v>
      </c>
      <c r="G116" s="30" t="s">
        <v>297</v>
      </c>
      <c r="H116" s="38">
        <f t="shared" si="62"/>
        <v>32.94</v>
      </c>
      <c r="I116" s="38">
        <f t="shared" si="64"/>
        <v>32.94</v>
      </c>
      <c r="J116" s="38"/>
      <c r="L116" t="str">
        <f t="shared" si="63"/>
        <v>ELCGAS</v>
      </c>
      <c r="M116">
        <f>IF(D116&lt;'Sub_CHP-Bio'!$D$20,'TAX_CHP_MultiFuel-NEW'!M58,0)</f>
        <v>0</v>
      </c>
    </row>
    <row r="117" spans="2:13" ht="13.8">
      <c r="B117" t="s">
        <v>458</v>
      </c>
      <c r="C117" t="s">
        <v>8</v>
      </c>
      <c r="D117">
        <v>2025</v>
      </c>
      <c r="E117" s="287" t="s">
        <v>178</v>
      </c>
      <c r="F117" s="283" t="s">
        <v>11</v>
      </c>
      <c r="G117" s="30" t="s">
        <v>297</v>
      </c>
      <c r="H117" s="38">
        <f t="shared" si="62"/>
        <v>19.197295081967212</v>
      </c>
      <c r="I117" s="38">
        <f t="shared" si="64"/>
        <v>19.197295081967212</v>
      </c>
      <c r="J117" s="38"/>
      <c r="L117" t="str">
        <f t="shared" si="63"/>
        <v>ELCWST</v>
      </c>
      <c r="M117">
        <f>IF(D117&lt;'Sub_CHP-Bio'!$D$20,'TAX_CHP_MultiFuel-NEW'!M59,0)</f>
        <v>0</v>
      </c>
    </row>
    <row r="118" spans="2:13" ht="13.8">
      <c r="B118" t="s">
        <v>458</v>
      </c>
      <c r="C118" t="s">
        <v>8</v>
      </c>
      <c r="D118">
        <v>2025</v>
      </c>
      <c r="E118" s="287" t="s">
        <v>178</v>
      </c>
      <c r="F118" s="283" t="s">
        <v>51</v>
      </c>
      <c r="G118" s="30" t="s">
        <v>297</v>
      </c>
      <c r="H118" s="38">
        <f t="shared" si="62"/>
        <v>32.94</v>
      </c>
      <c r="I118" s="38">
        <f t="shared" si="64"/>
        <v>32.94</v>
      </c>
      <c r="J118" s="38"/>
      <c r="L118" t="str">
        <f t="shared" si="63"/>
        <v>ELCBGA</v>
      </c>
      <c r="M118">
        <f>IF(D118&lt;'Sub_CHP-Bio'!$D$20,'TAX_CHP_MultiFuel-NEW'!M60,0)</f>
        <v>0</v>
      </c>
    </row>
    <row r="119" spans="2:13" ht="13.8">
      <c r="B119" t="s">
        <v>458</v>
      </c>
      <c r="C119" t="s">
        <v>8</v>
      </c>
      <c r="D119">
        <v>2025</v>
      </c>
      <c r="E119" s="282" t="s">
        <v>179</v>
      </c>
      <c r="F119" s="53" t="s">
        <v>101</v>
      </c>
      <c r="G119" s="30" t="s">
        <v>297</v>
      </c>
      <c r="H119" s="38">
        <f t="shared" si="62"/>
        <v>32.94</v>
      </c>
      <c r="I119" s="38">
        <f t="shared" si="64"/>
        <v>32.94</v>
      </c>
      <c r="J119" s="38"/>
      <c r="L119" t="str">
        <f t="shared" si="63"/>
        <v>ELCCOA</v>
      </c>
      <c r="M119">
        <f>IF(D119&lt;'Sub_CHP-Bio'!$D$20,'TAX_CHP_MultiFuel-NEW'!M61,0)</f>
        <v>0</v>
      </c>
    </row>
    <row r="120" spans="2:13" ht="13.8">
      <c r="B120" t="s">
        <v>458</v>
      </c>
      <c r="C120" t="s">
        <v>8</v>
      </c>
      <c r="D120">
        <v>2025</v>
      </c>
      <c r="E120" s="282" t="s">
        <v>179</v>
      </c>
      <c r="F120" s="53" t="s">
        <v>52</v>
      </c>
      <c r="G120" s="30" t="s">
        <v>297</v>
      </c>
      <c r="H120" s="38">
        <f t="shared" si="62"/>
        <v>-6.2787499999999996</v>
      </c>
      <c r="I120" s="38">
        <f t="shared" si="64"/>
        <v>-6.2787499999999996</v>
      </c>
      <c r="J120" s="38"/>
      <c r="L120" t="str">
        <f t="shared" si="63"/>
        <v>ELCSTR</v>
      </c>
      <c r="M120">
        <f>IF(D120&lt;'Sub_CHP-Bio'!$D$20,'TAX_CHP_MultiFuel-NEW'!M62,0)</f>
        <v>6.2787499999999996</v>
      </c>
    </row>
    <row r="121" spans="2:13" ht="13.8">
      <c r="B121" t="s">
        <v>458</v>
      </c>
      <c r="C121" t="s">
        <v>8</v>
      </c>
      <c r="D121">
        <v>2025</v>
      </c>
      <c r="E121" s="282" t="s">
        <v>180</v>
      </c>
      <c r="F121" s="53" t="s">
        <v>72</v>
      </c>
      <c r="G121" s="30" t="s">
        <v>297</v>
      </c>
      <c r="H121" s="38">
        <f t="shared" si="62"/>
        <v>-6.3520833333333337</v>
      </c>
      <c r="I121" s="38">
        <f t="shared" si="64"/>
        <v>-6.3520833333333337</v>
      </c>
      <c r="J121" s="38"/>
      <c r="L121" t="str">
        <f t="shared" si="63"/>
        <v>ELCWPE</v>
      </c>
      <c r="M121">
        <f>IF(D121&lt;'Sub_CHP-Bio'!$D$20,'TAX_CHP_MultiFuel-NEW'!M63,0)</f>
        <v>6.3520833333333337</v>
      </c>
    </row>
    <row r="122" spans="2:13" ht="13.8">
      <c r="B122" t="s">
        <v>458</v>
      </c>
      <c r="C122" t="s">
        <v>8</v>
      </c>
      <c r="D122">
        <v>2025</v>
      </c>
      <c r="E122" s="282" t="s">
        <v>180</v>
      </c>
      <c r="F122" s="53" t="s">
        <v>132</v>
      </c>
      <c r="G122" s="30" t="s">
        <v>297</v>
      </c>
      <c r="H122" s="38">
        <f t="shared" si="62"/>
        <v>-6.3520833333333337</v>
      </c>
      <c r="I122" s="38">
        <f t="shared" si="64"/>
        <v>-6.3520833333333337</v>
      </c>
      <c r="J122" s="38"/>
      <c r="L122" t="str">
        <f t="shared" si="63"/>
        <v>ELCWCH</v>
      </c>
      <c r="M122">
        <f>IF(D122&lt;'Sub_CHP-Bio'!$D$20,'TAX_CHP_MultiFuel-NEW'!M64,0)</f>
        <v>6.3520833333333337</v>
      </c>
    </row>
    <row r="123" spans="2:13" ht="13.8">
      <c r="B123" t="s">
        <v>458</v>
      </c>
      <c r="C123" t="s">
        <v>8</v>
      </c>
      <c r="D123">
        <v>2025</v>
      </c>
      <c r="E123" s="282" t="s">
        <v>180</v>
      </c>
      <c r="F123" s="53" t="s">
        <v>11</v>
      </c>
      <c r="G123" s="30" t="s">
        <v>297</v>
      </c>
      <c r="H123" s="38">
        <f t="shared" si="62"/>
        <v>19.197295081967212</v>
      </c>
      <c r="I123" s="38">
        <f t="shared" si="64"/>
        <v>19.197295081967212</v>
      </c>
      <c r="J123" s="38"/>
      <c r="L123" t="str">
        <f t="shared" si="63"/>
        <v>ELCWST</v>
      </c>
      <c r="M123">
        <f>IF(D123&lt;'Sub_CHP-Bio'!$D$20,'TAX_CHP_MultiFuel-NEW'!M65,0)</f>
        <v>0</v>
      </c>
    </row>
    <row r="124" spans="2:13" ht="13.8">
      <c r="B124" t="s">
        <v>458</v>
      </c>
      <c r="C124" t="s">
        <v>8</v>
      </c>
      <c r="D124">
        <v>2025</v>
      </c>
      <c r="E124" s="287" t="s">
        <v>481</v>
      </c>
      <c r="F124" s="53" t="s">
        <v>72</v>
      </c>
      <c r="G124" s="30" t="s">
        <v>297</v>
      </c>
      <c r="H124" s="38">
        <f t="shared" si="62"/>
        <v>-5.1145833333333339</v>
      </c>
      <c r="I124" s="38">
        <f t="shared" si="64"/>
        <v>-5.1145833333333339</v>
      </c>
      <c r="J124" s="38"/>
      <c r="L124" t="str">
        <f t="shared" si="63"/>
        <v>ELCWPE</v>
      </c>
      <c r="M124">
        <f>IF(D124&lt;'Sub_CHP-Bio'!$D$20,'TAX_CHP_MultiFuel-NEW'!M66,0)</f>
        <v>5.1145833333333339</v>
      </c>
    </row>
    <row r="125" spans="2:13" ht="13.8">
      <c r="B125" t="s">
        <v>458</v>
      </c>
      <c r="C125" t="s">
        <v>8</v>
      </c>
      <c r="D125">
        <v>2025</v>
      </c>
      <c r="E125" s="287" t="s">
        <v>481</v>
      </c>
      <c r="F125" s="53" t="s">
        <v>132</v>
      </c>
      <c r="G125" s="30" t="s">
        <v>297</v>
      </c>
      <c r="H125" s="38">
        <f t="shared" si="62"/>
        <v>-5.1145833333333339</v>
      </c>
      <c r="I125" s="38">
        <f t="shared" si="64"/>
        <v>-5.1145833333333339</v>
      </c>
      <c r="J125" s="38"/>
      <c r="L125" t="str">
        <f t="shared" si="63"/>
        <v>ELCWCH</v>
      </c>
      <c r="M125">
        <f>IF(D125&lt;'Sub_CHP-Bio'!$D$20,'TAX_CHP_MultiFuel-NEW'!M67,0)</f>
        <v>5.1145833333333339</v>
      </c>
    </row>
    <row r="126" spans="2:13" ht="13.8">
      <c r="B126" t="s">
        <v>458</v>
      </c>
      <c r="C126" t="s">
        <v>8</v>
      </c>
      <c r="D126">
        <v>2025</v>
      </c>
      <c r="E126" s="287" t="s">
        <v>481</v>
      </c>
      <c r="F126" s="53" t="s">
        <v>11</v>
      </c>
      <c r="G126" s="30" t="s">
        <v>297</v>
      </c>
      <c r="H126" s="38">
        <f t="shared" si="62"/>
        <v>14.082711748633878</v>
      </c>
      <c r="I126" s="38">
        <f t="shared" si="64"/>
        <v>14.082711748633878</v>
      </c>
      <c r="J126" s="38"/>
      <c r="L126" t="str">
        <f t="shared" si="63"/>
        <v>ELCWST</v>
      </c>
      <c r="M126">
        <f>IF(D126&lt;'Sub_CHP-Bio'!$D$20,'TAX_CHP_MultiFuel-NEW'!M68,0)</f>
        <v>5.1145833333333339</v>
      </c>
    </row>
    <row r="127" spans="2:13" ht="13.8">
      <c r="B127" t="s">
        <v>458</v>
      </c>
      <c r="C127" t="s">
        <v>8</v>
      </c>
      <c r="D127">
        <v>2025</v>
      </c>
      <c r="E127" s="282" t="s">
        <v>480</v>
      </c>
      <c r="F127" s="53" t="s">
        <v>11</v>
      </c>
      <c r="G127" s="30" t="s">
        <v>297</v>
      </c>
      <c r="H127" s="38">
        <f t="shared" si="62"/>
        <v>19.197295081967212</v>
      </c>
      <c r="I127" s="38">
        <f t="shared" si="64"/>
        <v>19.197295081967212</v>
      </c>
      <c r="J127" s="38"/>
      <c r="L127" t="str">
        <f t="shared" si="63"/>
        <v>ELCWST</v>
      </c>
      <c r="M127">
        <f>IF(D127&lt;'Sub_CHP-Bio'!$D$20,'TAX_CHP_MultiFuel-NEW'!M69,0)</f>
        <v>0</v>
      </c>
    </row>
    <row r="128" spans="2:13" ht="13.8">
      <c r="B128" t="s">
        <v>458</v>
      </c>
      <c r="C128" t="s">
        <v>8</v>
      </c>
      <c r="D128">
        <v>2025</v>
      </c>
      <c r="E128" s="282" t="s">
        <v>480</v>
      </c>
      <c r="F128" s="53" t="s">
        <v>52</v>
      </c>
      <c r="G128" s="30" t="s">
        <v>297</v>
      </c>
      <c r="H128" s="38">
        <f t="shared" si="62"/>
        <v>-7.2312500000000002</v>
      </c>
      <c r="I128" s="38">
        <f t="shared" si="64"/>
        <v>-7.2312500000000002</v>
      </c>
      <c r="J128" s="38"/>
      <c r="L128" t="str">
        <f t="shared" si="63"/>
        <v>ELCSTR</v>
      </c>
      <c r="M128">
        <f>IF(D128&lt;'Sub_CHP-Bio'!$D$20,'TAX_CHP_MultiFuel-NEW'!M70,0)</f>
        <v>7.2312500000000002</v>
      </c>
    </row>
    <row r="129" spans="2:13" ht="13.8">
      <c r="B129" t="s">
        <v>458</v>
      </c>
      <c r="C129" t="s">
        <v>8</v>
      </c>
      <c r="D129">
        <v>2025</v>
      </c>
      <c r="E129" s="282" t="s">
        <v>480</v>
      </c>
      <c r="F129" s="53" t="s">
        <v>132</v>
      </c>
      <c r="G129" s="30" t="s">
        <v>297</v>
      </c>
      <c r="H129" s="38">
        <f t="shared" si="62"/>
        <v>-7.2312500000000002</v>
      </c>
      <c r="I129" s="38">
        <f t="shared" si="64"/>
        <v>-7.2312500000000002</v>
      </c>
      <c r="J129" s="38"/>
      <c r="L129" t="str">
        <f t="shared" si="63"/>
        <v>ELCWCH</v>
      </c>
      <c r="M129">
        <f>IF(D129&lt;'Sub_CHP-Bio'!$D$20,'TAX_CHP_MultiFuel-NEW'!M71,0)</f>
        <v>7.2312500000000002</v>
      </c>
    </row>
    <row r="130" spans="2:13" ht="13.8">
      <c r="B130" t="s">
        <v>458</v>
      </c>
      <c r="C130" t="s">
        <v>8</v>
      </c>
      <c r="D130">
        <v>2025</v>
      </c>
      <c r="E130" s="282" t="s">
        <v>480</v>
      </c>
      <c r="F130" s="53" t="s">
        <v>474</v>
      </c>
      <c r="G130" s="30" t="s">
        <v>297</v>
      </c>
      <c r="H130" s="38">
        <f t="shared" si="62"/>
        <v>32.94</v>
      </c>
      <c r="I130" s="38">
        <f t="shared" si="64"/>
        <v>32.94</v>
      </c>
      <c r="J130" s="38"/>
      <c r="L130" t="str">
        <f t="shared" si="63"/>
        <v>ELCGAS</v>
      </c>
      <c r="M130">
        <f>IF(D130&lt;'Sub_CHP-Bio'!$D$20,'TAX_CHP_MultiFuel-NEW'!M72,0)</f>
        <v>0</v>
      </c>
    </row>
    <row r="131" spans="2:13" ht="13.8">
      <c r="B131" s="7" t="s">
        <v>458</v>
      </c>
      <c r="C131" s="7" t="s">
        <v>8</v>
      </c>
      <c r="D131" s="7">
        <v>2025</v>
      </c>
      <c r="E131" s="353" t="s">
        <v>480</v>
      </c>
      <c r="F131" s="50" t="s">
        <v>51</v>
      </c>
      <c r="G131" s="35" t="s">
        <v>297</v>
      </c>
      <c r="H131" s="46">
        <f t="shared" si="62"/>
        <v>32.94</v>
      </c>
      <c r="I131" s="46">
        <f t="shared" si="64"/>
        <v>32.94</v>
      </c>
      <c r="J131" s="46"/>
      <c r="K131" s="7"/>
      <c r="L131" s="7" t="str">
        <f t="shared" si="63"/>
        <v>ELCBGA</v>
      </c>
      <c r="M131">
        <f>IF(D131&lt;'Sub_CHP-Bio'!$D$20,'TAX_CHP_MultiFuel-NEW'!M73,0)</f>
        <v>0</v>
      </c>
    </row>
    <row r="132" spans="2:13" ht="13.8">
      <c r="B132" t="s">
        <v>458</v>
      </c>
      <c r="C132" t="s">
        <v>8</v>
      </c>
      <c r="D132">
        <v>2026</v>
      </c>
      <c r="E132" s="282" t="s">
        <v>163</v>
      </c>
      <c r="F132" s="53" t="s">
        <v>72</v>
      </c>
      <c r="G132" s="30" t="s">
        <v>297</v>
      </c>
      <c r="H132" s="38">
        <f>HLOOKUP(L132,FuelTax2,D132-2006,FALSE)*$B$10-M132</f>
        <v>0</v>
      </c>
      <c r="I132" s="38">
        <f t="shared" si="64"/>
        <v>0</v>
      </c>
      <c r="J132" s="38"/>
      <c r="L132" t="str">
        <f t="shared" si="63"/>
        <v>ELCWPE</v>
      </c>
      <c r="M132">
        <f>IF(D132&lt;'Sub_CHP-Bio'!$D$20,'TAX_CHP_MultiFuel-NEW'!M74,0)</f>
        <v>0</v>
      </c>
    </row>
    <row r="133" spans="2:13" ht="13.8">
      <c r="B133" t="s">
        <v>458</v>
      </c>
      <c r="C133" t="s">
        <v>8</v>
      </c>
      <c r="D133">
        <v>2026</v>
      </c>
      <c r="E133" s="282" t="s">
        <v>163</v>
      </c>
      <c r="F133" s="53" t="s">
        <v>52</v>
      </c>
      <c r="G133" s="30" t="s">
        <v>297</v>
      </c>
      <c r="H133" s="38">
        <f t="shared" ref="H133:H134" si="65">HLOOKUP(L133,FuelTax2,D133-2006,FALSE)*$B$10-M133</f>
        <v>0</v>
      </c>
      <c r="I133" s="38">
        <f t="shared" si="64"/>
        <v>0</v>
      </c>
      <c r="J133" s="38"/>
      <c r="L133" t="str">
        <f t="shared" si="63"/>
        <v>ELCSTR</v>
      </c>
      <c r="M133">
        <f>IF(D133&lt;'Sub_CHP-Bio'!$D$20,'TAX_CHP_MultiFuel-NEW'!M75,0)</f>
        <v>0</v>
      </c>
    </row>
    <row r="134" spans="2:13" ht="13.8">
      <c r="B134" t="s">
        <v>458</v>
      </c>
      <c r="C134" t="s">
        <v>8</v>
      </c>
      <c r="D134">
        <v>2026</v>
      </c>
      <c r="E134" s="282" t="s">
        <v>163</v>
      </c>
      <c r="F134" s="53" t="s">
        <v>51</v>
      </c>
      <c r="G134" s="30" t="s">
        <v>297</v>
      </c>
      <c r="H134" s="38">
        <f t="shared" si="65"/>
        <v>32.94</v>
      </c>
      <c r="I134" s="38">
        <f t="shared" si="64"/>
        <v>32.94</v>
      </c>
      <c r="J134" s="38"/>
      <c r="L134" t="str">
        <f t="shared" si="63"/>
        <v>ELCBGA</v>
      </c>
      <c r="M134">
        <f>IF(D134&lt;'Sub_CHP-Bio'!$D$20,'TAX_CHP_MultiFuel-NEW'!M76,0)</f>
        <v>0</v>
      </c>
    </row>
    <row r="135" spans="2:13" ht="13.8">
      <c r="B135" t="s">
        <v>458</v>
      </c>
      <c r="C135" t="s">
        <v>8</v>
      </c>
      <c r="D135">
        <v>2026</v>
      </c>
      <c r="E135" s="282" t="s">
        <v>164</v>
      </c>
      <c r="F135" s="53" t="s">
        <v>101</v>
      </c>
      <c r="G135" s="30" t="s">
        <v>297</v>
      </c>
      <c r="H135" s="38">
        <f>HLOOKUP(L135,FuelTax2,D135-2006,FALSE)*$B$10-M135</f>
        <v>32.94</v>
      </c>
      <c r="I135" s="38">
        <f t="shared" si="64"/>
        <v>32.94</v>
      </c>
      <c r="J135" s="38"/>
      <c r="L135" t="str">
        <f t="shared" si="63"/>
        <v>ELCCOA</v>
      </c>
      <c r="M135">
        <f>IF(D135&lt;'Sub_CHP-Bio'!$D$20,'TAX_CHP_MultiFuel-NEW'!M77,0)</f>
        <v>0</v>
      </c>
    </row>
    <row r="136" spans="2:13" ht="13.8">
      <c r="B136" t="s">
        <v>458</v>
      </c>
      <c r="C136" t="s">
        <v>8</v>
      </c>
      <c r="D136">
        <v>2026</v>
      </c>
      <c r="E136" s="282" t="s">
        <v>164</v>
      </c>
      <c r="F136" s="53" t="s">
        <v>72</v>
      </c>
      <c r="G136" s="30" t="s">
        <v>297</v>
      </c>
      <c r="H136" s="38">
        <f t="shared" ref="H136" si="66">HLOOKUP(L136,FuelTax2,D136-2006,FALSE)*$B$10-M136</f>
        <v>0</v>
      </c>
      <c r="I136" s="38">
        <f t="shared" si="64"/>
        <v>0</v>
      </c>
      <c r="J136" s="38"/>
      <c r="L136" t="str">
        <f t="shared" si="63"/>
        <v>ELCWPE</v>
      </c>
      <c r="M136">
        <f>IF(D136&lt;'Sub_CHP-Bio'!$D$20,'TAX_CHP_MultiFuel-NEW'!M78,0)</f>
        <v>0</v>
      </c>
    </row>
    <row r="137" spans="2:13" ht="13.8">
      <c r="B137" t="s">
        <v>458</v>
      </c>
      <c r="C137" t="s">
        <v>8</v>
      </c>
      <c r="D137">
        <v>2026</v>
      </c>
      <c r="E137" s="282" t="s">
        <v>164</v>
      </c>
      <c r="F137" s="53" t="s">
        <v>132</v>
      </c>
      <c r="G137" s="30" t="s">
        <v>297</v>
      </c>
      <c r="H137" s="38">
        <f>HLOOKUP(L137,FuelTax2,D137-2006,FALSE)*$B$10-M137</f>
        <v>0</v>
      </c>
      <c r="I137" s="38">
        <f t="shared" si="64"/>
        <v>0</v>
      </c>
      <c r="J137" s="38"/>
      <c r="L137" t="str">
        <f t="shared" si="63"/>
        <v>ELCWCH</v>
      </c>
      <c r="M137">
        <f>IF(D137&lt;'Sub_CHP-Bio'!$D$20,'TAX_CHP_MultiFuel-NEW'!M79,0)</f>
        <v>0</v>
      </c>
    </row>
    <row r="138" spans="2:13" ht="13.8">
      <c r="B138" t="s">
        <v>458</v>
      </c>
      <c r="C138" t="s">
        <v>8</v>
      </c>
      <c r="D138">
        <v>2026</v>
      </c>
      <c r="E138" s="282" t="s">
        <v>165</v>
      </c>
      <c r="F138" s="53" t="s">
        <v>11</v>
      </c>
      <c r="G138" s="30" t="s">
        <v>297</v>
      </c>
      <c r="H138" s="38">
        <f t="shared" ref="H138:H189" si="67">HLOOKUP(L138,FuelTax2,D138-2006,FALSE)*$B$10-M138</f>
        <v>19.197295081967212</v>
      </c>
      <c r="I138" s="38">
        <f t="shared" si="64"/>
        <v>19.197295081967212</v>
      </c>
      <c r="J138" s="38"/>
      <c r="L138" t="str">
        <f t="shared" si="63"/>
        <v>ELCWST</v>
      </c>
      <c r="M138">
        <f>IF(D138&lt;'Sub_CHP-Bio'!$D$20,'TAX_CHP_MultiFuel-NEW'!M80,0)</f>
        <v>0</v>
      </c>
    </row>
    <row r="139" spans="2:13" ht="13.8">
      <c r="B139" t="s">
        <v>458</v>
      </c>
      <c r="C139" t="s">
        <v>8</v>
      </c>
      <c r="D139">
        <v>2026</v>
      </c>
      <c r="E139" s="282" t="s">
        <v>166</v>
      </c>
      <c r="F139" s="53" t="s">
        <v>11</v>
      </c>
      <c r="G139" s="30" t="s">
        <v>297</v>
      </c>
      <c r="H139" s="38">
        <f t="shared" si="67"/>
        <v>19.197295081967212</v>
      </c>
      <c r="I139" s="38">
        <f t="shared" si="64"/>
        <v>19.197295081967212</v>
      </c>
      <c r="J139" s="38"/>
      <c r="L139" t="str">
        <f t="shared" si="63"/>
        <v>ELCWST</v>
      </c>
      <c r="M139">
        <f>IF(D139&lt;'Sub_CHP-Bio'!$D$20,'TAX_CHP_MultiFuel-NEW'!M81,0)</f>
        <v>0</v>
      </c>
    </row>
    <row r="140" spans="2:13" ht="13.8">
      <c r="B140" t="s">
        <v>458</v>
      </c>
      <c r="C140" t="s">
        <v>8</v>
      </c>
      <c r="D140">
        <v>2026</v>
      </c>
      <c r="E140" s="282" t="s">
        <v>166</v>
      </c>
      <c r="F140" s="53" t="s">
        <v>52</v>
      </c>
      <c r="G140" s="30" t="s">
        <v>297</v>
      </c>
      <c r="H140" s="38">
        <f t="shared" si="67"/>
        <v>0</v>
      </c>
      <c r="I140" s="38">
        <f t="shared" si="64"/>
        <v>0</v>
      </c>
      <c r="J140" s="38"/>
      <c r="L140" t="str">
        <f t="shared" si="63"/>
        <v>ELCSTR</v>
      </c>
      <c r="M140">
        <f>IF(D140&lt;'Sub_CHP-Bio'!$D$20,'TAX_CHP_MultiFuel-NEW'!M82,0)</f>
        <v>0</v>
      </c>
    </row>
    <row r="141" spans="2:13" ht="13.8">
      <c r="B141" t="s">
        <v>458</v>
      </c>
      <c r="C141" t="s">
        <v>8</v>
      </c>
      <c r="D141">
        <v>2026</v>
      </c>
      <c r="E141" s="287" t="s">
        <v>168</v>
      </c>
      <c r="F141" s="53" t="s">
        <v>70</v>
      </c>
      <c r="G141" s="30" t="s">
        <v>297</v>
      </c>
      <c r="H141" s="38">
        <f t="shared" si="67"/>
        <v>45.12</v>
      </c>
      <c r="I141" s="38">
        <f t="shared" si="64"/>
        <v>45.12</v>
      </c>
      <c r="J141" s="38"/>
      <c r="L141" t="str">
        <f t="shared" si="63"/>
        <v>ELCDSL</v>
      </c>
      <c r="M141">
        <f>IF(D141&lt;'Sub_CHP-Bio'!$D$20,'TAX_CHP_MultiFuel-NEW'!M83,0)</f>
        <v>0</v>
      </c>
    </row>
    <row r="142" spans="2:13" ht="13.8">
      <c r="B142" t="s">
        <v>458</v>
      </c>
      <c r="C142" t="s">
        <v>8</v>
      </c>
      <c r="D142">
        <v>2026</v>
      </c>
      <c r="E142" s="287" t="s">
        <v>168</v>
      </c>
      <c r="F142" s="53" t="s">
        <v>10</v>
      </c>
      <c r="G142" s="30" t="s">
        <v>297</v>
      </c>
      <c r="H142" s="38">
        <f t="shared" si="67"/>
        <v>32.94</v>
      </c>
      <c r="I142" s="38">
        <f t="shared" si="64"/>
        <v>32.94</v>
      </c>
      <c r="J142" s="38"/>
      <c r="L142" t="str">
        <f t="shared" si="63"/>
        <v>ELCHFO</v>
      </c>
      <c r="M142">
        <f>IF(D142&lt;'Sub_CHP-Bio'!$D$20,'TAX_CHP_MultiFuel-NEW'!M84,0)</f>
        <v>0</v>
      </c>
    </row>
    <row r="143" spans="2:13" ht="13.8">
      <c r="B143" t="s">
        <v>458</v>
      </c>
      <c r="C143" t="s">
        <v>8</v>
      </c>
      <c r="D143">
        <v>2026</v>
      </c>
      <c r="E143" s="287" t="s">
        <v>168</v>
      </c>
      <c r="F143" s="53" t="s">
        <v>9</v>
      </c>
      <c r="G143" s="30" t="s">
        <v>297</v>
      </c>
      <c r="H143" s="38">
        <f t="shared" si="67"/>
        <v>32.94</v>
      </c>
      <c r="I143" s="38">
        <f t="shared" si="64"/>
        <v>32.94</v>
      </c>
      <c r="J143" s="38"/>
      <c r="L143" t="str">
        <f t="shared" si="63"/>
        <v>ELCNGA</v>
      </c>
      <c r="M143">
        <f>IF(D143&lt;'Sub_CHP-Bio'!$D$20,'TAX_CHP_MultiFuel-NEW'!M85,0)</f>
        <v>0</v>
      </c>
    </row>
    <row r="144" spans="2:13" ht="13.8">
      <c r="B144" t="s">
        <v>458</v>
      </c>
      <c r="C144" t="s">
        <v>8</v>
      </c>
      <c r="D144">
        <v>2026</v>
      </c>
      <c r="E144" s="287" t="s">
        <v>168</v>
      </c>
      <c r="F144" s="53" t="s">
        <v>131</v>
      </c>
      <c r="G144" s="30" t="s">
        <v>297</v>
      </c>
      <c r="H144" s="38">
        <f t="shared" si="67"/>
        <v>32.94</v>
      </c>
      <c r="I144" s="38">
        <f t="shared" si="64"/>
        <v>32.94</v>
      </c>
      <c r="J144" s="38"/>
      <c r="L144" t="str">
        <f t="shared" si="63"/>
        <v>ELCSNG</v>
      </c>
      <c r="M144">
        <f>IF(D144&lt;'Sub_CHP-Bio'!$D$20,'TAX_CHP_MultiFuel-NEW'!M86,0)</f>
        <v>0</v>
      </c>
    </row>
    <row r="145" spans="2:13" ht="13.8">
      <c r="B145" t="s">
        <v>458</v>
      </c>
      <c r="C145" t="s">
        <v>8</v>
      </c>
      <c r="D145">
        <v>2026</v>
      </c>
      <c r="E145" s="287" t="s">
        <v>169</v>
      </c>
      <c r="F145" s="53" t="s">
        <v>101</v>
      </c>
      <c r="G145" s="30" t="s">
        <v>297</v>
      </c>
      <c r="H145" s="38">
        <f t="shared" si="67"/>
        <v>32.94</v>
      </c>
      <c r="I145" s="38">
        <f t="shared" si="64"/>
        <v>32.94</v>
      </c>
      <c r="J145" s="38"/>
      <c r="L145" t="str">
        <f t="shared" si="63"/>
        <v>ELCCOA</v>
      </c>
      <c r="M145">
        <f>IF(D145&lt;'Sub_CHP-Bio'!$D$20,'TAX_CHP_MultiFuel-NEW'!M87,0)</f>
        <v>0</v>
      </c>
    </row>
    <row r="146" spans="2:13" ht="13.8">
      <c r="B146" t="s">
        <v>458</v>
      </c>
      <c r="C146" t="s">
        <v>8</v>
      </c>
      <c r="D146">
        <v>2026</v>
      </c>
      <c r="E146" s="287" t="s">
        <v>169</v>
      </c>
      <c r="F146" s="53" t="s">
        <v>52</v>
      </c>
      <c r="G146" s="30" t="s">
        <v>297</v>
      </c>
      <c r="H146" s="38">
        <f t="shared" si="67"/>
        <v>0</v>
      </c>
      <c r="I146" s="38">
        <f t="shared" si="64"/>
        <v>0</v>
      </c>
      <c r="J146" s="38"/>
      <c r="L146" t="str">
        <f t="shared" si="63"/>
        <v>ELCSTR</v>
      </c>
      <c r="M146">
        <f>IF(D146&lt;'Sub_CHP-Bio'!$D$20,'TAX_CHP_MultiFuel-NEW'!M88,0)</f>
        <v>0</v>
      </c>
    </row>
    <row r="147" spans="2:13" ht="13.8">
      <c r="B147" t="s">
        <v>458</v>
      </c>
      <c r="C147" t="s">
        <v>8</v>
      </c>
      <c r="D147">
        <v>2026</v>
      </c>
      <c r="E147" s="287" t="s">
        <v>171</v>
      </c>
      <c r="F147" s="53" t="s">
        <v>72</v>
      </c>
      <c r="G147" s="30" t="s">
        <v>297</v>
      </c>
      <c r="H147" s="38">
        <f t="shared" si="67"/>
        <v>0</v>
      </c>
      <c r="I147" s="38">
        <f t="shared" si="64"/>
        <v>0</v>
      </c>
      <c r="J147" s="38"/>
      <c r="L147" t="str">
        <f t="shared" si="63"/>
        <v>ELCWPE</v>
      </c>
      <c r="M147">
        <f>IF(D147&lt;'Sub_CHP-Bio'!$D$20,'TAX_CHP_MultiFuel-NEW'!M89,0)</f>
        <v>0</v>
      </c>
    </row>
    <row r="148" spans="2:13" ht="13.8">
      <c r="B148" t="s">
        <v>458</v>
      </c>
      <c r="C148" t="s">
        <v>8</v>
      </c>
      <c r="D148">
        <v>2026</v>
      </c>
      <c r="E148" s="282" t="s">
        <v>171</v>
      </c>
      <c r="F148" s="53" t="s">
        <v>132</v>
      </c>
      <c r="G148" s="30" t="s">
        <v>297</v>
      </c>
      <c r="H148" s="38">
        <f t="shared" si="67"/>
        <v>0</v>
      </c>
      <c r="I148" s="38">
        <f t="shared" si="64"/>
        <v>0</v>
      </c>
      <c r="J148" s="38"/>
      <c r="L148" t="str">
        <f t="shared" si="63"/>
        <v>ELCWCH</v>
      </c>
      <c r="M148">
        <f>IF(D148&lt;'Sub_CHP-Bio'!$D$20,'TAX_CHP_MultiFuel-NEW'!M90,0)</f>
        <v>0</v>
      </c>
    </row>
    <row r="149" spans="2:13" ht="13.8">
      <c r="B149" t="s">
        <v>458</v>
      </c>
      <c r="C149" t="s">
        <v>8</v>
      </c>
      <c r="D149">
        <v>2026</v>
      </c>
      <c r="E149" s="287" t="s">
        <v>171</v>
      </c>
      <c r="F149" s="53" t="s">
        <v>11</v>
      </c>
      <c r="G149" s="30" t="s">
        <v>297</v>
      </c>
      <c r="H149" s="38">
        <f t="shared" si="67"/>
        <v>19.197295081967212</v>
      </c>
      <c r="I149" s="38">
        <f t="shared" si="64"/>
        <v>19.197295081967212</v>
      </c>
      <c r="J149" s="38"/>
      <c r="L149" t="str">
        <f t="shared" si="63"/>
        <v>ELCWST</v>
      </c>
      <c r="M149">
        <f>IF(D149&lt;'Sub_CHP-Bio'!$D$20,'TAX_CHP_MultiFuel-NEW'!M91,0)</f>
        <v>0</v>
      </c>
    </row>
    <row r="150" spans="2:13" ht="13.8">
      <c r="B150" t="s">
        <v>458</v>
      </c>
      <c r="C150" t="s">
        <v>8</v>
      </c>
      <c r="D150">
        <v>2026</v>
      </c>
      <c r="E150" s="287" t="s">
        <v>165</v>
      </c>
      <c r="F150" s="283" t="s">
        <v>474</v>
      </c>
      <c r="G150" s="30" t="s">
        <v>297</v>
      </c>
      <c r="H150" s="38">
        <f t="shared" si="67"/>
        <v>32.94</v>
      </c>
      <c r="I150" s="38">
        <f t="shared" si="64"/>
        <v>32.94</v>
      </c>
      <c r="J150" s="38"/>
      <c r="L150" t="str">
        <f>IF(LEFT(F150,1)="E",F150,"ELC"&amp;F150)</f>
        <v>ELCGAS</v>
      </c>
      <c r="M150">
        <f>IF(D150&lt;'Sub_CHP-Bio'!$D$20,'TAX_CHP_MultiFuel-NEW'!M92,0)</f>
        <v>0</v>
      </c>
    </row>
    <row r="151" spans="2:13" ht="13.8">
      <c r="B151" t="s">
        <v>458</v>
      </c>
      <c r="C151" t="s">
        <v>8</v>
      </c>
      <c r="D151">
        <v>2026</v>
      </c>
      <c r="E151" s="287" t="s">
        <v>165</v>
      </c>
      <c r="F151" s="283" t="s">
        <v>11</v>
      </c>
      <c r="G151" s="30" t="s">
        <v>297</v>
      </c>
      <c r="H151" s="38">
        <f t="shared" si="67"/>
        <v>19.197295081967212</v>
      </c>
      <c r="I151" s="38">
        <f t="shared" si="64"/>
        <v>19.197295081967212</v>
      </c>
      <c r="J151" s="38"/>
      <c r="L151" t="str">
        <f t="shared" ref="L151:L189" si="68">IF(LEFT(F151,1)="E",F151,"ELC"&amp;F151)</f>
        <v>ELCWST</v>
      </c>
      <c r="M151">
        <f>IF(D151&lt;'Sub_CHP-Bio'!$D$20,'TAX_CHP_MultiFuel-NEW'!M93,0)</f>
        <v>0</v>
      </c>
    </row>
    <row r="152" spans="2:13" ht="13.8">
      <c r="B152" t="s">
        <v>458</v>
      </c>
      <c r="C152" t="s">
        <v>8</v>
      </c>
      <c r="D152">
        <v>2026</v>
      </c>
      <c r="E152" s="287" t="s">
        <v>165</v>
      </c>
      <c r="F152" s="283" t="s">
        <v>51</v>
      </c>
      <c r="G152" s="30" t="s">
        <v>297</v>
      </c>
      <c r="H152" s="38">
        <f t="shared" si="67"/>
        <v>32.94</v>
      </c>
      <c r="I152" s="38">
        <f t="shared" si="64"/>
        <v>32.94</v>
      </c>
      <c r="J152" s="38"/>
      <c r="L152" t="str">
        <f t="shared" si="68"/>
        <v>ELCBGA</v>
      </c>
      <c r="M152">
        <f>IF(D152&lt;'Sub_CHP-Bio'!$D$20,'TAX_CHP_MultiFuel-NEW'!M94,0)</f>
        <v>0</v>
      </c>
    </row>
    <row r="153" spans="2:13" ht="13.8">
      <c r="B153" t="s">
        <v>458</v>
      </c>
      <c r="C153" t="s">
        <v>8</v>
      </c>
      <c r="D153">
        <v>2026</v>
      </c>
      <c r="E153" s="287" t="s">
        <v>100</v>
      </c>
      <c r="F153" s="53" t="s">
        <v>101</v>
      </c>
      <c r="G153" s="30" t="s">
        <v>297</v>
      </c>
      <c r="H153" s="38">
        <f t="shared" si="67"/>
        <v>32.94</v>
      </c>
      <c r="I153" s="38">
        <f t="shared" si="64"/>
        <v>32.94</v>
      </c>
      <c r="J153" s="38"/>
      <c r="L153" t="str">
        <f t="shared" si="68"/>
        <v>ELCCOA</v>
      </c>
      <c r="M153">
        <f>IF(D153&lt;'Sub_CHP-Bio'!$D$20,'TAX_CHP_MultiFuel-NEW'!M95,0)</f>
        <v>0</v>
      </c>
    </row>
    <row r="154" spans="2:13" ht="13.8">
      <c r="B154" t="s">
        <v>458</v>
      </c>
      <c r="C154" t="s">
        <v>8</v>
      </c>
      <c r="D154">
        <v>2026</v>
      </c>
      <c r="E154" s="287" t="s">
        <v>100</v>
      </c>
      <c r="F154" s="53" t="s">
        <v>52</v>
      </c>
      <c r="G154" s="30" t="s">
        <v>297</v>
      </c>
      <c r="H154" s="38">
        <f t="shared" si="67"/>
        <v>0</v>
      </c>
      <c r="I154" s="38">
        <f t="shared" si="64"/>
        <v>0</v>
      </c>
      <c r="J154" s="38"/>
      <c r="L154" t="str">
        <f t="shared" si="68"/>
        <v>ELCSTR</v>
      </c>
      <c r="M154">
        <f>IF(D154&lt;'Sub_CHP-Bio'!$D$20,'TAX_CHP_MultiFuel-NEW'!M96,0)</f>
        <v>0</v>
      </c>
    </row>
    <row r="155" spans="2:13" ht="13.8">
      <c r="B155" t="s">
        <v>458</v>
      </c>
      <c r="C155" t="s">
        <v>8</v>
      </c>
      <c r="D155">
        <v>2026</v>
      </c>
      <c r="E155" s="287" t="s">
        <v>172</v>
      </c>
      <c r="F155" s="53" t="s">
        <v>72</v>
      </c>
      <c r="G155" s="30" t="s">
        <v>297</v>
      </c>
      <c r="H155" s="38">
        <f t="shared" si="67"/>
        <v>0</v>
      </c>
      <c r="I155" s="38">
        <f t="shared" si="64"/>
        <v>0</v>
      </c>
      <c r="J155" s="38"/>
      <c r="L155" t="str">
        <f t="shared" si="68"/>
        <v>ELCWPE</v>
      </c>
      <c r="M155">
        <f>IF(D155&lt;'Sub_CHP-Bio'!$D$20,'TAX_CHP_MultiFuel-NEW'!M97,0)</f>
        <v>0</v>
      </c>
    </row>
    <row r="156" spans="2:13" ht="13.8">
      <c r="B156" t="s">
        <v>458</v>
      </c>
      <c r="C156" t="s">
        <v>8</v>
      </c>
      <c r="D156">
        <v>2026</v>
      </c>
      <c r="E156" s="287" t="s">
        <v>172</v>
      </c>
      <c r="F156" s="53" t="s">
        <v>132</v>
      </c>
      <c r="G156" s="30" t="s">
        <v>297</v>
      </c>
      <c r="H156" s="38">
        <f t="shared" si="67"/>
        <v>0</v>
      </c>
      <c r="I156" s="38">
        <f t="shared" si="64"/>
        <v>0</v>
      </c>
      <c r="J156" s="38"/>
      <c r="L156" t="str">
        <f t="shared" si="68"/>
        <v>ELCWCH</v>
      </c>
      <c r="M156">
        <f>IF(D156&lt;'Sub_CHP-Bio'!$D$20,'TAX_CHP_MultiFuel-NEW'!M98,0)</f>
        <v>0</v>
      </c>
    </row>
    <row r="157" spans="2:13" ht="13.8">
      <c r="B157" t="s">
        <v>458</v>
      </c>
      <c r="C157" t="s">
        <v>8</v>
      </c>
      <c r="D157">
        <v>2026</v>
      </c>
      <c r="E157" s="287" t="s">
        <v>172</v>
      </c>
      <c r="F157" s="53" t="s">
        <v>474</v>
      </c>
      <c r="G157" s="30" t="s">
        <v>297</v>
      </c>
      <c r="H157" s="38">
        <f t="shared" si="67"/>
        <v>32.94</v>
      </c>
      <c r="I157" s="38">
        <f t="shared" si="64"/>
        <v>32.94</v>
      </c>
      <c r="J157" s="38"/>
      <c r="L157" t="str">
        <f t="shared" si="68"/>
        <v>ELCGAS</v>
      </c>
      <c r="M157">
        <f>IF(D157&lt;'Sub_CHP-Bio'!$D$20,'TAX_CHP_MultiFuel-NEW'!M99,0)</f>
        <v>0</v>
      </c>
    </row>
    <row r="158" spans="2:13" ht="13.8">
      <c r="B158" t="s">
        <v>458</v>
      </c>
      <c r="C158" t="s">
        <v>8</v>
      </c>
      <c r="D158">
        <v>2026</v>
      </c>
      <c r="E158" s="287" t="s">
        <v>172</v>
      </c>
      <c r="F158" s="53" t="s">
        <v>51</v>
      </c>
      <c r="G158" s="30" t="s">
        <v>297</v>
      </c>
      <c r="H158" s="38">
        <f t="shared" si="67"/>
        <v>32.94</v>
      </c>
      <c r="I158" s="38">
        <f t="shared" si="64"/>
        <v>32.94</v>
      </c>
      <c r="J158" s="38"/>
      <c r="L158" t="str">
        <f t="shared" si="68"/>
        <v>ELCBGA</v>
      </c>
      <c r="M158">
        <f>IF(D158&lt;'Sub_CHP-Bio'!$D$20,'TAX_CHP_MultiFuel-NEW'!M100,0)</f>
        <v>0</v>
      </c>
    </row>
    <row r="159" spans="2:13" ht="13.8">
      <c r="B159" t="s">
        <v>458</v>
      </c>
      <c r="C159" s="7" t="s">
        <v>8</v>
      </c>
      <c r="D159">
        <v>2026</v>
      </c>
      <c r="E159" s="287" t="s">
        <v>173</v>
      </c>
      <c r="F159" s="53" t="s">
        <v>72</v>
      </c>
      <c r="G159" s="30" t="s">
        <v>297</v>
      </c>
      <c r="H159" s="38">
        <f t="shared" si="67"/>
        <v>0</v>
      </c>
      <c r="I159" s="38">
        <f t="shared" si="64"/>
        <v>0</v>
      </c>
      <c r="J159" s="38"/>
      <c r="L159" t="str">
        <f t="shared" si="68"/>
        <v>ELCWPE</v>
      </c>
      <c r="M159">
        <f>IF(D159&lt;'Sub_CHP-Bio'!$D$20,'TAX_CHP_MultiFuel-NEW'!M101,0)</f>
        <v>0</v>
      </c>
    </row>
    <row r="160" spans="2:13" ht="13.8">
      <c r="B160" t="s">
        <v>458</v>
      </c>
      <c r="C160" t="s">
        <v>8</v>
      </c>
      <c r="D160">
        <v>2026</v>
      </c>
      <c r="E160" s="287" t="s">
        <v>173</v>
      </c>
      <c r="F160" s="53" t="s">
        <v>132</v>
      </c>
      <c r="G160" s="30" t="s">
        <v>297</v>
      </c>
      <c r="H160" s="38">
        <f t="shared" si="67"/>
        <v>0</v>
      </c>
      <c r="I160" s="38">
        <f t="shared" si="64"/>
        <v>0</v>
      </c>
      <c r="J160" s="38"/>
      <c r="L160" t="str">
        <f t="shared" si="68"/>
        <v>ELCWCH</v>
      </c>
      <c r="M160">
        <f>IF(D160&lt;'Sub_CHP-Bio'!$D$20,'TAX_CHP_MultiFuel-NEW'!M102,0)</f>
        <v>0</v>
      </c>
    </row>
    <row r="161" spans="2:13" ht="13.8">
      <c r="B161" t="s">
        <v>458</v>
      </c>
      <c r="C161" t="s">
        <v>8</v>
      </c>
      <c r="D161">
        <v>2026</v>
      </c>
      <c r="E161" s="287" t="s">
        <v>173</v>
      </c>
      <c r="F161" s="53" t="s">
        <v>11</v>
      </c>
      <c r="G161" s="30" t="s">
        <v>297</v>
      </c>
      <c r="H161" s="38">
        <f t="shared" si="67"/>
        <v>19.197295081967212</v>
      </c>
      <c r="I161" s="38">
        <f t="shared" si="64"/>
        <v>19.197295081967212</v>
      </c>
      <c r="J161" s="38"/>
      <c r="L161" t="str">
        <f t="shared" si="68"/>
        <v>ELCWST</v>
      </c>
      <c r="M161">
        <f>IF(D161&lt;'Sub_CHP-Bio'!$D$20,'TAX_CHP_MultiFuel-NEW'!M103,0)</f>
        <v>0</v>
      </c>
    </row>
    <row r="162" spans="2:13" ht="13.8">
      <c r="B162" t="s">
        <v>458</v>
      </c>
      <c r="C162" t="s">
        <v>8</v>
      </c>
      <c r="D162">
        <v>2026</v>
      </c>
      <c r="E162" s="287" t="s">
        <v>174</v>
      </c>
      <c r="F162" s="53" t="s">
        <v>11</v>
      </c>
      <c r="G162" s="30" t="s">
        <v>297</v>
      </c>
      <c r="H162" s="38">
        <f t="shared" si="67"/>
        <v>19.197295081967212</v>
      </c>
      <c r="I162" s="38">
        <f t="shared" si="64"/>
        <v>19.197295081967212</v>
      </c>
      <c r="J162" s="38"/>
      <c r="L162" t="str">
        <f t="shared" si="68"/>
        <v>ELCWST</v>
      </c>
      <c r="M162">
        <f>IF(D162&lt;'Sub_CHP-Bio'!$D$20,'TAX_CHP_MultiFuel-NEW'!M104,0)</f>
        <v>0</v>
      </c>
    </row>
    <row r="163" spans="2:13" ht="13.8">
      <c r="B163" t="s">
        <v>458</v>
      </c>
      <c r="C163" t="s">
        <v>8</v>
      </c>
      <c r="D163">
        <v>2026</v>
      </c>
      <c r="E163" s="287" t="s">
        <v>174</v>
      </c>
      <c r="F163" s="53" t="s">
        <v>52</v>
      </c>
      <c r="G163" s="30" t="s">
        <v>297</v>
      </c>
      <c r="H163" s="38">
        <f t="shared" si="67"/>
        <v>0</v>
      </c>
      <c r="I163" s="38">
        <f t="shared" si="64"/>
        <v>0</v>
      </c>
      <c r="J163" s="38"/>
      <c r="L163" t="str">
        <f t="shared" si="68"/>
        <v>ELCSTR</v>
      </c>
      <c r="M163">
        <f>IF(D163&lt;'Sub_CHP-Bio'!$D$20,'TAX_CHP_MultiFuel-NEW'!M105,0)</f>
        <v>0</v>
      </c>
    </row>
    <row r="164" spans="2:13" ht="13.8">
      <c r="B164" t="s">
        <v>458</v>
      </c>
      <c r="C164" t="s">
        <v>8</v>
      </c>
      <c r="D164">
        <v>2026</v>
      </c>
      <c r="E164" s="287" t="s">
        <v>174</v>
      </c>
      <c r="F164" s="53" t="s">
        <v>132</v>
      </c>
      <c r="G164" s="30" t="s">
        <v>297</v>
      </c>
      <c r="H164" s="38">
        <f t="shared" si="67"/>
        <v>0</v>
      </c>
      <c r="I164" s="38">
        <f t="shared" si="64"/>
        <v>0</v>
      </c>
      <c r="J164" s="38"/>
      <c r="L164" t="str">
        <f t="shared" si="68"/>
        <v>ELCWCH</v>
      </c>
      <c r="M164">
        <f>IF(D164&lt;'Sub_CHP-Bio'!$D$20,'TAX_CHP_MultiFuel-NEW'!M106,0)</f>
        <v>0</v>
      </c>
    </row>
    <row r="165" spans="2:13" ht="13.8">
      <c r="B165" t="s">
        <v>458</v>
      </c>
      <c r="C165" t="s">
        <v>8</v>
      </c>
      <c r="D165">
        <v>2026</v>
      </c>
      <c r="E165" s="287" t="s">
        <v>174</v>
      </c>
      <c r="F165" s="53" t="s">
        <v>474</v>
      </c>
      <c r="G165" s="30" t="s">
        <v>297</v>
      </c>
      <c r="H165" s="38">
        <f t="shared" si="67"/>
        <v>32.94</v>
      </c>
      <c r="I165" s="38">
        <f t="shared" si="64"/>
        <v>32.94</v>
      </c>
      <c r="J165" s="38"/>
      <c r="L165" t="str">
        <f t="shared" si="68"/>
        <v>ELCGAS</v>
      </c>
      <c r="M165">
        <f>IF(D165&lt;'Sub_CHP-Bio'!$D$20,'TAX_CHP_MultiFuel-NEW'!M107,0)</f>
        <v>0</v>
      </c>
    </row>
    <row r="166" spans="2:13" ht="13.8">
      <c r="B166" t="s">
        <v>458</v>
      </c>
      <c r="C166" t="s">
        <v>8</v>
      </c>
      <c r="D166">
        <v>2026</v>
      </c>
      <c r="E166" s="287" t="s">
        <v>174</v>
      </c>
      <c r="F166" s="53" t="s">
        <v>51</v>
      </c>
      <c r="G166" s="30" t="s">
        <v>297</v>
      </c>
      <c r="H166" s="38">
        <f t="shared" si="67"/>
        <v>32.94</v>
      </c>
      <c r="I166" s="38">
        <f t="shared" si="64"/>
        <v>32.94</v>
      </c>
      <c r="J166" s="38"/>
      <c r="L166" t="str">
        <f t="shared" si="68"/>
        <v>ELCBGA</v>
      </c>
      <c r="M166">
        <f>IF(D166&lt;'Sub_CHP-Bio'!$D$20,'TAX_CHP_MultiFuel-NEW'!M108,0)</f>
        <v>0</v>
      </c>
    </row>
    <row r="167" spans="2:13" ht="13.8">
      <c r="B167" t="s">
        <v>458</v>
      </c>
      <c r="C167" t="s">
        <v>8</v>
      </c>
      <c r="D167">
        <v>2026</v>
      </c>
      <c r="E167" s="288" t="s">
        <v>476</v>
      </c>
      <c r="F167" s="283" t="s">
        <v>72</v>
      </c>
      <c r="G167" s="30" t="s">
        <v>297</v>
      </c>
      <c r="H167" s="38">
        <f t="shared" si="67"/>
        <v>0</v>
      </c>
      <c r="I167" s="38">
        <f>H167</f>
        <v>0</v>
      </c>
      <c r="J167" s="38"/>
      <c r="L167" t="str">
        <f t="shared" si="68"/>
        <v>ELCWPE</v>
      </c>
      <c r="M167">
        <f>IF(D167&lt;'Sub_CHP-Bio'!$D$20,'TAX_CHP_MultiFuel-NEW'!M109,0)</f>
        <v>0</v>
      </c>
    </row>
    <row r="168" spans="2:13" ht="13.8">
      <c r="B168" t="s">
        <v>458</v>
      </c>
      <c r="C168" t="s">
        <v>8</v>
      </c>
      <c r="D168">
        <v>2026</v>
      </c>
      <c r="E168" s="288" t="s">
        <v>476</v>
      </c>
      <c r="F168" s="283" t="s">
        <v>132</v>
      </c>
      <c r="G168" s="30" t="s">
        <v>297</v>
      </c>
      <c r="H168" s="38">
        <f t="shared" si="67"/>
        <v>0</v>
      </c>
      <c r="I168" s="38">
        <f t="shared" ref="I168:I189" si="69">H168</f>
        <v>0</v>
      </c>
      <c r="J168" s="38"/>
      <c r="L168" t="str">
        <f t="shared" si="68"/>
        <v>ELCWCH</v>
      </c>
      <c r="M168">
        <f>IF(D168&lt;'Sub_CHP-Bio'!$D$20,'TAX_CHP_MultiFuel-NEW'!M110,0)</f>
        <v>0</v>
      </c>
    </row>
    <row r="169" spans="2:13" ht="13.8">
      <c r="B169" t="s">
        <v>458</v>
      </c>
      <c r="C169" t="s">
        <v>8</v>
      </c>
      <c r="D169">
        <v>2026</v>
      </c>
      <c r="E169" s="288" t="s">
        <v>476</v>
      </c>
      <c r="F169" s="283" t="s">
        <v>11</v>
      </c>
      <c r="G169" s="30" t="s">
        <v>297</v>
      </c>
      <c r="H169" s="38">
        <f t="shared" si="67"/>
        <v>19.197295081967212</v>
      </c>
      <c r="I169" s="38">
        <f t="shared" si="69"/>
        <v>19.197295081967212</v>
      </c>
      <c r="J169" s="38"/>
      <c r="L169" t="str">
        <f t="shared" si="68"/>
        <v>ELCWST</v>
      </c>
      <c r="M169">
        <f>IF(D169&lt;'Sub_CHP-Bio'!$D$20,'TAX_CHP_MultiFuel-NEW'!M111,0)</f>
        <v>0</v>
      </c>
    </row>
    <row r="170" spans="2:13" ht="13.8">
      <c r="B170" t="s">
        <v>458</v>
      </c>
      <c r="C170" t="s">
        <v>8</v>
      </c>
      <c r="D170">
        <v>2026</v>
      </c>
      <c r="E170" s="282" t="s">
        <v>175</v>
      </c>
      <c r="F170" s="53" t="s">
        <v>101</v>
      </c>
      <c r="G170" s="30" t="s">
        <v>297</v>
      </c>
      <c r="H170" s="38">
        <f t="shared" si="67"/>
        <v>32.94</v>
      </c>
      <c r="I170" s="38">
        <f t="shared" si="69"/>
        <v>32.94</v>
      </c>
      <c r="J170" s="38"/>
      <c r="L170" t="str">
        <f t="shared" si="68"/>
        <v>ELCCOA</v>
      </c>
      <c r="M170">
        <f>IF(D170&lt;'Sub_CHP-Bio'!$D$20,'TAX_CHP_MultiFuel-NEW'!M112,0)</f>
        <v>0</v>
      </c>
    </row>
    <row r="171" spans="2:13" ht="13.8">
      <c r="B171" t="s">
        <v>458</v>
      </c>
      <c r="C171" t="s">
        <v>8</v>
      </c>
      <c r="D171">
        <v>2026</v>
      </c>
      <c r="E171" s="282" t="s">
        <v>175</v>
      </c>
      <c r="F171" s="53" t="s">
        <v>72</v>
      </c>
      <c r="G171" s="30" t="s">
        <v>297</v>
      </c>
      <c r="H171" s="38">
        <f t="shared" si="67"/>
        <v>0</v>
      </c>
      <c r="I171" s="38">
        <f t="shared" si="69"/>
        <v>0</v>
      </c>
      <c r="J171" s="38"/>
      <c r="L171" t="str">
        <f t="shared" si="68"/>
        <v>ELCWPE</v>
      </c>
      <c r="M171">
        <f>IF(D171&lt;'Sub_CHP-Bio'!$D$20,'TAX_CHP_MultiFuel-NEW'!M113,0)</f>
        <v>0</v>
      </c>
    </row>
    <row r="172" spans="2:13" ht="13.8">
      <c r="B172" t="s">
        <v>458</v>
      </c>
      <c r="C172" t="s">
        <v>8</v>
      </c>
      <c r="D172">
        <v>2026</v>
      </c>
      <c r="E172" s="282" t="s">
        <v>176</v>
      </c>
      <c r="F172" s="53" t="s">
        <v>11</v>
      </c>
      <c r="G172" s="30" t="s">
        <v>297</v>
      </c>
      <c r="H172" s="38">
        <f t="shared" si="67"/>
        <v>19.197295081967212</v>
      </c>
      <c r="I172" s="38">
        <f t="shared" si="69"/>
        <v>19.197295081967212</v>
      </c>
      <c r="J172" s="38"/>
      <c r="L172" t="str">
        <f t="shared" si="68"/>
        <v>ELCWST</v>
      </c>
      <c r="M172">
        <f>IF(D172&lt;'Sub_CHP-Bio'!$D$20,'TAX_CHP_MultiFuel-NEW'!M114,0)</f>
        <v>0</v>
      </c>
    </row>
    <row r="173" spans="2:13" ht="13.8">
      <c r="B173" t="s">
        <v>458</v>
      </c>
      <c r="C173" t="s">
        <v>8</v>
      </c>
      <c r="D173">
        <v>2026</v>
      </c>
      <c r="E173" s="282" t="s">
        <v>176</v>
      </c>
      <c r="F173" s="53" t="s">
        <v>52</v>
      </c>
      <c r="G173" s="30" t="s">
        <v>297</v>
      </c>
      <c r="H173" s="38">
        <f t="shared" si="67"/>
        <v>0</v>
      </c>
      <c r="I173" s="38">
        <f t="shared" si="69"/>
        <v>0</v>
      </c>
      <c r="J173" s="38"/>
      <c r="L173" t="str">
        <f t="shared" si="68"/>
        <v>ELCSTR</v>
      </c>
      <c r="M173">
        <f>IF(D173&lt;'Sub_CHP-Bio'!$D$20,'TAX_CHP_MultiFuel-NEW'!M115,0)</f>
        <v>0</v>
      </c>
    </row>
    <row r="174" spans="2:13" ht="13.8">
      <c r="B174" t="s">
        <v>458</v>
      </c>
      <c r="C174" t="s">
        <v>8</v>
      </c>
      <c r="D174">
        <v>2026</v>
      </c>
      <c r="E174" s="287" t="s">
        <v>178</v>
      </c>
      <c r="F174" s="283" t="s">
        <v>474</v>
      </c>
      <c r="G174" s="30" t="s">
        <v>297</v>
      </c>
      <c r="H174" s="38">
        <f t="shared" si="67"/>
        <v>32.94</v>
      </c>
      <c r="I174" s="38">
        <f t="shared" si="69"/>
        <v>32.94</v>
      </c>
      <c r="J174" s="38"/>
      <c r="L174" t="str">
        <f t="shared" si="68"/>
        <v>ELCGAS</v>
      </c>
      <c r="M174">
        <f>IF(D174&lt;'Sub_CHP-Bio'!$D$20,'TAX_CHP_MultiFuel-NEW'!M116,0)</f>
        <v>0</v>
      </c>
    </row>
    <row r="175" spans="2:13" ht="13.8">
      <c r="B175" t="s">
        <v>458</v>
      </c>
      <c r="C175" t="s">
        <v>8</v>
      </c>
      <c r="D175">
        <v>2026</v>
      </c>
      <c r="E175" s="287" t="s">
        <v>178</v>
      </c>
      <c r="F175" s="283" t="s">
        <v>11</v>
      </c>
      <c r="G175" s="30" t="s">
        <v>297</v>
      </c>
      <c r="H175" s="38">
        <f t="shared" si="67"/>
        <v>19.197295081967212</v>
      </c>
      <c r="I175" s="38">
        <f t="shared" si="69"/>
        <v>19.197295081967212</v>
      </c>
      <c r="J175" s="38"/>
      <c r="L175" t="str">
        <f t="shared" si="68"/>
        <v>ELCWST</v>
      </c>
      <c r="M175">
        <f>IF(D175&lt;'Sub_CHP-Bio'!$D$20,'TAX_CHP_MultiFuel-NEW'!M117,0)</f>
        <v>0</v>
      </c>
    </row>
    <row r="176" spans="2:13" ht="13.8">
      <c r="B176" t="s">
        <v>458</v>
      </c>
      <c r="C176" t="s">
        <v>8</v>
      </c>
      <c r="D176">
        <v>2026</v>
      </c>
      <c r="E176" s="287" t="s">
        <v>178</v>
      </c>
      <c r="F176" s="283" t="s">
        <v>51</v>
      </c>
      <c r="G176" s="30" t="s">
        <v>297</v>
      </c>
      <c r="H176" s="38">
        <f t="shared" si="67"/>
        <v>32.94</v>
      </c>
      <c r="I176" s="38">
        <f t="shared" si="69"/>
        <v>32.94</v>
      </c>
      <c r="J176" s="38"/>
      <c r="L176" t="str">
        <f t="shared" si="68"/>
        <v>ELCBGA</v>
      </c>
      <c r="M176">
        <f>IF(D176&lt;'Sub_CHP-Bio'!$D$20,'TAX_CHP_MultiFuel-NEW'!M118,0)</f>
        <v>0</v>
      </c>
    </row>
    <row r="177" spans="2:13" ht="13.8">
      <c r="B177" t="s">
        <v>458</v>
      </c>
      <c r="C177" t="s">
        <v>8</v>
      </c>
      <c r="D177">
        <v>2026</v>
      </c>
      <c r="E177" s="282" t="s">
        <v>179</v>
      </c>
      <c r="F177" s="53" t="s">
        <v>101</v>
      </c>
      <c r="G177" s="30" t="s">
        <v>297</v>
      </c>
      <c r="H177" s="38">
        <f t="shared" si="67"/>
        <v>32.94</v>
      </c>
      <c r="I177" s="38">
        <f t="shared" si="69"/>
        <v>32.94</v>
      </c>
      <c r="J177" s="38"/>
      <c r="L177" t="str">
        <f t="shared" si="68"/>
        <v>ELCCOA</v>
      </c>
      <c r="M177">
        <f>IF(D177&lt;'Sub_CHP-Bio'!$D$20,'TAX_CHP_MultiFuel-NEW'!M119,0)</f>
        <v>0</v>
      </c>
    </row>
    <row r="178" spans="2:13" ht="13.8">
      <c r="B178" t="s">
        <v>458</v>
      </c>
      <c r="C178" t="s">
        <v>8</v>
      </c>
      <c r="D178">
        <v>2026</v>
      </c>
      <c r="E178" s="282" t="s">
        <v>179</v>
      </c>
      <c r="F178" s="53" t="s">
        <v>52</v>
      </c>
      <c r="G178" s="30" t="s">
        <v>297</v>
      </c>
      <c r="H178" s="38">
        <f t="shared" si="67"/>
        <v>0</v>
      </c>
      <c r="I178" s="38">
        <f t="shared" si="69"/>
        <v>0</v>
      </c>
      <c r="J178" s="38"/>
      <c r="L178" t="str">
        <f t="shared" si="68"/>
        <v>ELCSTR</v>
      </c>
      <c r="M178">
        <f>IF(D178&lt;'Sub_CHP-Bio'!$D$20,'TAX_CHP_MultiFuel-NEW'!M120,0)</f>
        <v>0</v>
      </c>
    </row>
    <row r="179" spans="2:13" ht="13.8">
      <c r="B179" t="s">
        <v>458</v>
      </c>
      <c r="C179" t="s">
        <v>8</v>
      </c>
      <c r="D179">
        <v>2026</v>
      </c>
      <c r="E179" s="282" t="s">
        <v>180</v>
      </c>
      <c r="F179" s="53" t="s">
        <v>72</v>
      </c>
      <c r="G179" s="30" t="s">
        <v>297</v>
      </c>
      <c r="H179" s="38">
        <f t="shared" si="67"/>
        <v>0</v>
      </c>
      <c r="I179" s="38">
        <f t="shared" si="69"/>
        <v>0</v>
      </c>
      <c r="J179" s="38"/>
      <c r="L179" t="str">
        <f t="shared" si="68"/>
        <v>ELCWPE</v>
      </c>
      <c r="M179">
        <f>IF(D179&lt;'Sub_CHP-Bio'!$D$20,'TAX_CHP_MultiFuel-NEW'!M121,0)</f>
        <v>0</v>
      </c>
    </row>
    <row r="180" spans="2:13" ht="13.8">
      <c r="B180" t="s">
        <v>458</v>
      </c>
      <c r="C180" t="s">
        <v>8</v>
      </c>
      <c r="D180">
        <v>2026</v>
      </c>
      <c r="E180" s="282" t="s">
        <v>180</v>
      </c>
      <c r="F180" s="53" t="s">
        <v>132</v>
      </c>
      <c r="G180" s="30" t="s">
        <v>297</v>
      </c>
      <c r="H180" s="38">
        <f t="shared" si="67"/>
        <v>0</v>
      </c>
      <c r="I180" s="38">
        <f t="shared" si="69"/>
        <v>0</v>
      </c>
      <c r="J180" s="38"/>
      <c r="L180" t="str">
        <f t="shared" si="68"/>
        <v>ELCWCH</v>
      </c>
      <c r="M180">
        <f>IF(D180&lt;'Sub_CHP-Bio'!$D$20,'TAX_CHP_MultiFuel-NEW'!M122,0)</f>
        <v>0</v>
      </c>
    </row>
    <row r="181" spans="2:13" ht="13.8">
      <c r="B181" t="s">
        <v>458</v>
      </c>
      <c r="C181" t="s">
        <v>8</v>
      </c>
      <c r="D181">
        <v>2026</v>
      </c>
      <c r="E181" s="282" t="s">
        <v>180</v>
      </c>
      <c r="F181" s="53" t="s">
        <v>11</v>
      </c>
      <c r="G181" s="30" t="s">
        <v>297</v>
      </c>
      <c r="H181" s="38">
        <f t="shared" si="67"/>
        <v>19.197295081967212</v>
      </c>
      <c r="I181" s="38">
        <f t="shared" si="69"/>
        <v>19.197295081967212</v>
      </c>
      <c r="J181" s="38"/>
      <c r="L181" t="str">
        <f t="shared" si="68"/>
        <v>ELCWST</v>
      </c>
      <c r="M181">
        <f>IF(D181&lt;'Sub_CHP-Bio'!$D$20,'TAX_CHP_MultiFuel-NEW'!M123,0)</f>
        <v>0</v>
      </c>
    </row>
    <row r="182" spans="2:13" ht="13.8">
      <c r="B182" t="s">
        <v>458</v>
      </c>
      <c r="C182" t="s">
        <v>8</v>
      </c>
      <c r="D182">
        <v>2026</v>
      </c>
      <c r="E182" s="287" t="s">
        <v>481</v>
      </c>
      <c r="F182" s="53" t="s">
        <v>72</v>
      </c>
      <c r="G182" s="30" t="s">
        <v>297</v>
      </c>
      <c r="H182" s="38">
        <f t="shared" si="67"/>
        <v>0</v>
      </c>
      <c r="I182" s="38">
        <f t="shared" si="69"/>
        <v>0</v>
      </c>
      <c r="J182" s="38"/>
      <c r="L182" t="str">
        <f t="shared" si="68"/>
        <v>ELCWPE</v>
      </c>
      <c r="M182">
        <f>IF(D182&lt;'Sub_CHP-Bio'!$D$20,'TAX_CHP_MultiFuel-NEW'!M124,0)</f>
        <v>0</v>
      </c>
    </row>
    <row r="183" spans="2:13" ht="13.8">
      <c r="B183" t="s">
        <v>458</v>
      </c>
      <c r="C183" t="s">
        <v>8</v>
      </c>
      <c r="D183">
        <v>2026</v>
      </c>
      <c r="E183" s="287" t="s">
        <v>481</v>
      </c>
      <c r="F183" s="53" t="s">
        <v>132</v>
      </c>
      <c r="G183" s="30" t="s">
        <v>297</v>
      </c>
      <c r="H183" s="38">
        <f t="shared" si="67"/>
        <v>0</v>
      </c>
      <c r="I183" s="38">
        <f t="shared" si="69"/>
        <v>0</v>
      </c>
      <c r="J183" s="38"/>
      <c r="L183" t="str">
        <f t="shared" si="68"/>
        <v>ELCWCH</v>
      </c>
      <c r="M183">
        <f>IF(D183&lt;'Sub_CHP-Bio'!$D$20,'TAX_CHP_MultiFuel-NEW'!M125,0)</f>
        <v>0</v>
      </c>
    </row>
    <row r="184" spans="2:13" ht="13.8">
      <c r="B184" t="s">
        <v>458</v>
      </c>
      <c r="C184" t="s">
        <v>8</v>
      </c>
      <c r="D184">
        <v>2026</v>
      </c>
      <c r="E184" s="287" t="s">
        <v>481</v>
      </c>
      <c r="F184" s="53" t="s">
        <v>11</v>
      </c>
      <c r="G184" s="30" t="s">
        <v>297</v>
      </c>
      <c r="H184" s="38">
        <f t="shared" si="67"/>
        <v>19.197295081967212</v>
      </c>
      <c r="I184" s="38">
        <f t="shared" si="69"/>
        <v>19.197295081967212</v>
      </c>
      <c r="J184" s="38"/>
      <c r="L184" t="str">
        <f t="shared" si="68"/>
        <v>ELCWST</v>
      </c>
      <c r="M184">
        <f>IF(D184&lt;'Sub_CHP-Bio'!$D$20,'TAX_CHP_MultiFuel-NEW'!M126,0)</f>
        <v>0</v>
      </c>
    </row>
    <row r="185" spans="2:13" ht="13.8">
      <c r="B185" t="s">
        <v>458</v>
      </c>
      <c r="C185" t="s">
        <v>8</v>
      </c>
      <c r="D185">
        <v>2026</v>
      </c>
      <c r="E185" s="282" t="s">
        <v>480</v>
      </c>
      <c r="F185" s="53" t="s">
        <v>11</v>
      </c>
      <c r="G185" s="30" t="s">
        <v>297</v>
      </c>
      <c r="H185" s="38">
        <f t="shared" si="67"/>
        <v>19.197295081967212</v>
      </c>
      <c r="I185" s="38">
        <f t="shared" si="69"/>
        <v>19.197295081967212</v>
      </c>
      <c r="J185" s="38"/>
      <c r="L185" t="str">
        <f t="shared" si="68"/>
        <v>ELCWST</v>
      </c>
      <c r="M185">
        <f>IF(D185&lt;'Sub_CHP-Bio'!$D$20,'TAX_CHP_MultiFuel-NEW'!M127,0)</f>
        <v>0</v>
      </c>
    </row>
    <row r="186" spans="2:13" ht="13.8">
      <c r="B186" t="s">
        <v>458</v>
      </c>
      <c r="C186" t="s">
        <v>8</v>
      </c>
      <c r="D186">
        <v>2026</v>
      </c>
      <c r="E186" s="282" t="s">
        <v>480</v>
      </c>
      <c r="F186" s="53" t="s">
        <v>52</v>
      </c>
      <c r="G186" s="30" t="s">
        <v>297</v>
      </c>
      <c r="H186" s="38">
        <f t="shared" si="67"/>
        <v>0</v>
      </c>
      <c r="I186" s="38">
        <f t="shared" si="69"/>
        <v>0</v>
      </c>
      <c r="J186" s="38"/>
      <c r="L186" t="str">
        <f t="shared" si="68"/>
        <v>ELCSTR</v>
      </c>
      <c r="M186">
        <f>IF(D186&lt;'Sub_CHP-Bio'!$D$20,'TAX_CHP_MultiFuel-NEW'!M128,0)</f>
        <v>0</v>
      </c>
    </row>
    <row r="187" spans="2:13" ht="13.8">
      <c r="B187" t="s">
        <v>458</v>
      </c>
      <c r="C187" t="s">
        <v>8</v>
      </c>
      <c r="D187">
        <v>2026</v>
      </c>
      <c r="E187" s="282" t="s">
        <v>480</v>
      </c>
      <c r="F187" s="53" t="s">
        <v>132</v>
      </c>
      <c r="G187" s="30" t="s">
        <v>297</v>
      </c>
      <c r="H187" s="38">
        <f t="shared" si="67"/>
        <v>0</v>
      </c>
      <c r="I187" s="38">
        <f t="shared" si="69"/>
        <v>0</v>
      </c>
      <c r="J187" s="38"/>
      <c r="L187" t="str">
        <f t="shared" si="68"/>
        <v>ELCWCH</v>
      </c>
      <c r="M187">
        <f>IF(D187&lt;'Sub_CHP-Bio'!$D$20,'TAX_CHP_MultiFuel-NEW'!M129,0)</f>
        <v>0</v>
      </c>
    </row>
    <row r="188" spans="2:13" ht="13.8">
      <c r="B188" t="s">
        <v>458</v>
      </c>
      <c r="C188" t="s">
        <v>8</v>
      </c>
      <c r="D188">
        <v>2026</v>
      </c>
      <c r="E188" s="282" t="s">
        <v>480</v>
      </c>
      <c r="F188" s="53" t="s">
        <v>474</v>
      </c>
      <c r="G188" s="30" t="s">
        <v>297</v>
      </c>
      <c r="H188" s="38">
        <f t="shared" si="67"/>
        <v>32.94</v>
      </c>
      <c r="I188" s="38">
        <f t="shared" si="69"/>
        <v>32.94</v>
      </c>
      <c r="J188" s="38"/>
      <c r="L188" t="str">
        <f t="shared" si="68"/>
        <v>ELCGAS</v>
      </c>
      <c r="M188">
        <f>IF(D188&lt;'Sub_CHP-Bio'!$D$20,'TAX_CHP_MultiFuel-NEW'!M130,0)</f>
        <v>0</v>
      </c>
    </row>
    <row r="189" spans="2:13" ht="13.8">
      <c r="B189" t="s">
        <v>458</v>
      </c>
      <c r="C189" t="s">
        <v>8</v>
      </c>
      <c r="D189">
        <v>2026</v>
      </c>
      <c r="E189" s="282" t="s">
        <v>480</v>
      </c>
      <c r="F189" s="53" t="s">
        <v>51</v>
      </c>
      <c r="G189" s="30" t="s">
        <v>297</v>
      </c>
      <c r="H189" s="38">
        <f t="shared" si="67"/>
        <v>32.94</v>
      </c>
      <c r="I189" s="38">
        <f t="shared" si="69"/>
        <v>32.94</v>
      </c>
      <c r="J189" s="38"/>
      <c r="L189" t="str">
        <f t="shared" si="68"/>
        <v>ELCBGA</v>
      </c>
      <c r="M189">
        <f>IF(D189&lt;'Sub_CHP-Bio'!$D$20,'TAX_CHP_MultiFuel-NEW'!M131,0)</f>
        <v>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2:L24"/>
  <sheetViews>
    <sheetView topLeftCell="A3" zoomScaleNormal="100" workbookViewId="0">
      <selection activeCell="F26" sqref="F26"/>
    </sheetView>
  </sheetViews>
  <sheetFormatPr defaultColWidth="8.88671875" defaultRowHeight="12.6"/>
  <cols>
    <col min="2" max="2" width="10.44140625" customWidth="1"/>
    <col min="3" max="3" width="15.88671875" customWidth="1"/>
    <col min="4" max="5" width="10.44140625" customWidth="1"/>
    <col min="6" max="6" width="38.109375" customWidth="1"/>
    <col min="7" max="7" width="21.44140625" customWidth="1"/>
    <col min="8" max="10" width="10.44140625" customWidth="1"/>
  </cols>
  <sheetData>
    <row r="2" spans="2:12" ht="23.4">
      <c r="B2" s="25" t="s">
        <v>153</v>
      </c>
    </row>
    <row r="4" spans="2:12" ht="22.8">
      <c r="B4" s="31" t="s">
        <v>66</v>
      </c>
    </row>
    <row r="6" spans="2:12">
      <c r="B6" s="40" t="s">
        <v>188</v>
      </c>
      <c r="C6" s="40"/>
      <c r="D6" s="40"/>
      <c r="E6" s="40"/>
      <c r="F6" s="40"/>
      <c r="G6" s="40"/>
      <c r="H6" s="40"/>
      <c r="I6" s="40"/>
      <c r="J6" s="40"/>
      <c r="K6" s="40"/>
      <c r="L6" s="40"/>
    </row>
    <row r="7" spans="2:12">
      <c r="B7" s="40"/>
      <c r="C7" s="40"/>
      <c r="D7" s="40"/>
      <c r="E7" s="40"/>
      <c r="F7" s="40"/>
      <c r="G7" s="40"/>
      <c r="H7" s="40"/>
      <c r="I7" s="40"/>
      <c r="J7" s="40"/>
      <c r="K7" s="40"/>
      <c r="L7" s="40"/>
    </row>
    <row r="8" spans="2:12">
      <c r="B8" s="40"/>
      <c r="C8" s="40">
        <v>15</v>
      </c>
      <c r="D8" s="40" t="s">
        <v>152</v>
      </c>
      <c r="E8" s="40" t="s">
        <v>151</v>
      </c>
      <c r="F8" s="40"/>
      <c r="G8" s="40"/>
      <c r="H8" s="40"/>
      <c r="I8" s="40"/>
      <c r="J8" s="40"/>
      <c r="K8" s="40"/>
      <c r="L8" s="40"/>
    </row>
    <row r="9" spans="2:12">
      <c r="B9" s="40"/>
      <c r="C9" s="40"/>
      <c r="D9" s="40"/>
      <c r="E9" s="40"/>
      <c r="F9" s="40"/>
      <c r="G9" s="40"/>
      <c r="H9" s="40"/>
      <c r="I9" s="40"/>
      <c r="J9" s="40"/>
      <c r="K9" s="40"/>
      <c r="L9" s="40"/>
    </row>
    <row r="10" spans="2:12">
      <c r="B10" s="40" t="s">
        <v>428</v>
      </c>
      <c r="C10" s="40"/>
      <c r="D10" s="40"/>
      <c r="E10" s="40"/>
      <c r="F10" s="40"/>
      <c r="G10" s="40"/>
      <c r="H10" s="40"/>
      <c r="I10" s="40"/>
      <c r="J10" s="40"/>
      <c r="K10" s="40"/>
      <c r="L10" s="40"/>
    </row>
    <row r="11" spans="2:12">
      <c r="B11" s="40" t="s">
        <v>429</v>
      </c>
      <c r="C11" s="40"/>
      <c r="D11" s="40"/>
      <c r="E11" s="40"/>
      <c r="F11" s="40"/>
      <c r="G11" s="40"/>
      <c r="H11" s="40"/>
      <c r="I11" s="40"/>
      <c r="J11" s="40"/>
      <c r="K11" s="40"/>
      <c r="L11" s="40"/>
    </row>
    <row r="12" spans="2:12">
      <c r="B12" s="49"/>
      <c r="C12" s="49"/>
      <c r="D12" s="49"/>
      <c r="E12" s="49"/>
      <c r="F12" s="49"/>
      <c r="G12" s="49"/>
      <c r="H12" s="49"/>
      <c r="I12" s="49"/>
      <c r="J12" s="49"/>
      <c r="K12" s="49"/>
      <c r="L12" s="49"/>
    </row>
    <row r="13" spans="2:12">
      <c r="B13" s="49"/>
      <c r="C13" s="49"/>
      <c r="D13" s="49"/>
      <c r="E13" s="49"/>
      <c r="F13" s="49"/>
      <c r="G13" s="49"/>
      <c r="H13" s="49"/>
      <c r="I13" s="49"/>
      <c r="J13" s="49"/>
      <c r="K13" s="49"/>
      <c r="L13" s="49"/>
    </row>
    <row r="14" spans="2:12" ht="14.4">
      <c r="B14" s="261"/>
      <c r="C14" s="262"/>
      <c r="D14" s="262"/>
      <c r="E14" s="262"/>
      <c r="F14" s="262"/>
      <c r="G14" s="262"/>
      <c r="H14" s="262"/>
    </row>
    <row r="15" spans="2:12">
      <c r="K15" s="10"/>
    </row>
    <row r="16" spans="2:12" ht="14.4">
      <c r="B16" s="261" t="s">
        <v>459</v>
      </c>
      <c r="C16" s="264"/>
      <c r="D16" s="264"/>
      <c r="E16" s="264"/>
      <c r="F16" s="264"/>
      <c r="G16" s="264"/>
      <c r="H16" s="264"/>
      <c r="K16" s="10"/>
    </row>
    <row r="17" spans="2:11" ht="13.8" thickBot="1">
      <c r="B17" s="265" t="s">
        <v>4</v>
      </c>
      <c r="C17" s="265" t="s">
        <v>5</v>
      </c>
      <c r="D17" s="265" t="s">
        <v>1</v>
      </c>
      <c r="E17" s="266" t="s">
        <v>46</v>
      </c>
      <c r="F17" s="266" t="s">
        <v>7</v>
      </c>
      <c r="G17" s="267" t="s">
        <v>6</v>
      </c>
      <c r="H17" s="268" t="s">
        <v>43</v>
      </c>
      <c r="I17" s="268" t="s">
        <v>432</v>
      </c>
      <c r="J17" s="270" t="s">
        <v>433</v>
      </c>
      <c r="K17" s="269"/>
    </row>
    <row r="18" spans="2:11" ht="13.2">
      <c r="C18" t="s">
        <v>48</v>
      </c>
      <c r="D18">
        <v>2010</v>
      </c>
      <c r="F18" t="s">
        <v>469</v>
      </c>
      <c r="G18" t="s">
        <v>55</v>
      </c>
      <c r="H18" t="s">
        <v>285</v>
      </c>
      <c r="I18">
        <f>$C$8*10/3.6</f>
        <v>41.666666666666664</v>
      </c>
      <c r="J18">
        <f>$C$8*10/3.6</f>
        <v>41.666666666666664</v>
      </c>
      <c r="K18" s="269"/>
    </row>
    <row r="19" spans="2:11" ht="13.2">
      <c r="C19" t="s">
        <v>48</v>
      </c>
      <c r="D19">
        <v>2025</v>
      </c>
      <c r="F19" t="s">
        <v>469</v>
      </c>
      <c r="G19" t="s">
        <v>55</v>
      </c>
      <c r="H19" t="s">
        <v>285</v>
      </c>
      <c r="I19">
        <f>$C$8*10/3.6</f>
        <v>41.666666666666664</v>
      </c>
      <c r="J19">
        <f>$C$8*10/3.6</f>
        <v>41.666666666666664</v>
      </c>
      <c r="K19" s="269"/>
    </row>
    <row r="20" spans="2:11" ht="13.2">
      <c r="C20" t="s">
        <v>48</v>
      </c>
      <c r="D20">
        <v>2026</v>
      </c>
      <c r="F20" t="s">
        <v>469</v>
      </c>
      <c r="G20" t="s">
        <v>55</v>
      </c>
      <c r="H20" t="s">
        <v>285</v>
      </c>
      <c r="I20">
        <v>0</v>
      </c>
      <c r="J20">
        <v>0</v>
      </c>
      <c r="K20" s="269"/>
    </row>
    <row r="21" spans="2:11" ht="13.2">
      <c r="K21" s="269"/>
    </row>
    <row r="22" spans="2:11" ht="13.2">
      <c r="K22" s="269"/>
    </row>
    <row r="23" spans="2:11" ht="13.2">
      <c r="K23" s="269"/>
    </row>
    <row r="24" spans="2:11" ht="13.2">
      <c r="K24" s="26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4:R48"/>
  <sheetViews>
    <sheetView topLeftCell="B1" workbookViewId="0">
      <selection activeCell="Q21" sqref="Q21"/>
    </sheetView>
  </sheetViews>
  <sheetFormatPr defaultRowHeight="12.6"/>
  <cols>
    <col min="8" max="8" width="14.6640625" bestFit="1" customWidth="1"/>
    <col min="9" max="9" width="14.6640625" customWidth="1"/>
  </cols>
  <sheetData>
    <row r="4" spans="2:18" ht="21">
      <c r="B4" s="281" t="s">
        <v>464</v>
      </c>
    </row>
    <row r="8" spans="2:18" ht="14.4">
      <c r="E8" s="2" t="s">
        <v>90</v>
      </c>
      <c r="F8" s="1"/>
      <c r="G8" s="1"/>
      <c r="H8" s="1"/>
      <c r="I8" s="1"/>
      <c r="J8" s="1"/>
      <c r="K8" s="1"/>
      <c r="L8" s="1"/>
      <c r="M8" s="1"/>
      <c r="P8" t="s">
        <v>462</v>
      </c>
      <c r="R8" t="s">
        <v>463</v>
      </c>
    </row>
    <row r="9" spans="2:18" ht="13.8" thickBot="1">
      <c r="E9" s="3" t="s">
        <v>4</v>
      </c>
      <c r="F9" s="3" t="s">
        <v>5</v>
      </c>
      <c r="G9" s="3" t="s">
        <v>1</v>
      </c>
      <c r="H9" s="5" t="s">
        <v>7</v>
      </c>
      <c r="I9" s="5" t="s">
        <v>6</v>
      </c>
      <c r="J9" s="18" t="s">
        <v>43</v>
      </c>
      <c r="K9" s="4" t="s">
        <v>465</v>
      </c>
      <c r="L9" s="275"/>
      <c r="P9" t="s">
        <v>471</v>
      </c>
    </row>
    <row r="10" spans="2:18">
      <c r="F10" t="s">
        <v>48</v>
      </c>
      <c r="G10">
        <v>2010</v>
      </c>
      <c r="H10" s="276" t="s">
        <v>165</v>
      </c>
      <c r="I10" s="276" t="s">
        <v>55</v>
      </c>
      <c r="J10" t="s">
        <v>461</v>
      </c>
      <c r="K10">
        <f>$N$14</f>
        <v>22.222222222222221</v>
      </c>
      <c r="N10">
        <v>8</v>
      </c>
      <c r="O10" t="s">
        <v>152</v>
      </c>
    </row>
    <row r="11" spans="2:18">
      <c r="F11" t="s">
        <v>48</v>
      </c>
      <c r="G11">
        <v>2010</v>
      </c>
      <c r="H11" s="277" t="s">
        <v>97</v>
      </c>
      <c r="I11" s="276" t="s">
        <v>55</v>
      </c>
      <c r="J11" t="s">
        <v>461</v>
      </c>
      <c r="K11">
        <f t="shared" ref="K11:K35" si="0">$N$14</f>
        <v>22.222222222222221</v>
      </c>
    </row>
    <row r="12" spans="2:18">
      <c r="F12" t="s">
        <v>48</v>
      </c>
      <c r="G12">
        <v>2010</v>
      </c>
      <c r="H12" s="277" t="s">
        <v>98</v>
      </c>
      <c r="I12" s="276" t="s">
        <v>55</v>
      </c>
      <c r="J12" t="s">
        <v>461</v>
      </c>
      <c r="K12">
        <f t="shared" si="0"/>
        <v>22.222222222222221</v>
      </c>
      <c r="N12">
        <f>N10*1000/100</f>
        <v>80</v>
      </c>
      <c r="O12" t="s">
        <v>449</v>
      </c>
    </row>
    <row r="13" spans="2:18">
      <c r="F13" t="s">
        <v>48</v>
      </c>
      <c r="G13">
        <v>2010</v>
      </c>
      <c r="H13" s="278" t="s">
        <v>168</v>
      </c>
      <c r="I13" s="276" t="s">
        <v>55</v>
      </c>
      <c r="J13" t="s">
        <v>461</v>
      </c>
      <c r="K13">
        <f t="shared" si="0"/>
        <v>22.222222222222221</v>
      </c>
    </row>
    <row r="14" spans="2:18">
      <c r="F14" t="s">
        <v>48</v>
      </c>
      <c r="G14">
        <v>2010</v>
      </c>
      <c r="H14" s="279" t="s">
        <v>165</v>
      </c>
      <c r="I14" s="276" t="s">
        <v>55</v>
      </c>
      <c r="J14" t="s">
        <v>461</v>
      </c>
      <c r="K14">
        <f t="shared" si="0"/>
        <v>22.222222222222221</v>
      </c>
      <c r="N14">
        <f>N12/3.6</f>
        <v>22.222222222222221</v>
      </c>
      <c r="O14" t="s">
        <v>364</v>
      </c>
    </row>
    <row r="15" spans="2:18">
      <c r="F15" t="s">
        <v>48</v>
      </c>
      <c r="G15">
        <v>2010</v>
      </c>
      <c r="H15" s="280" t="s">
        <v>97</v>
      </c>
      <c r="I15" s="276" t="s">
        <v>55</v>
      </c>
      <c r="J15" t="s">
        <v>461</v>
      </c>
      <c r="K15">
        <f t="shared" si="0"/>
        <v>22.222222222222221</v>
      </c>
    </row>
    <row r="16" spans="2:18">
      <c r="F16" t="s">
        <v>48</v>
      </c>
      <c r="G16">
        <v>2010</v>
      </c>
      <c r="H16" s="279" t="s">
        <v>65</v>
      </c>
      <c r="I16" s="276" t="s">
        <v>55</v>
      </c>
      <c r="J16" t="s">
        <v>461</v>
      </c>
      <c r="K16">
        <f t="shared" si="0"/>
        <v>22.222222222222221</v>
      </c>
    </row>
    <row r="17" spans="6:11">
      <c r="F17" t="s">
        <v>48</v>
      </c>
      <c r="G17">
        <v>2010</v>
      </c>
      <c r="H17" s="280" t="s">
        <v>98</v>
      </c>
      <c r="I17" s="276" t="s">
        <v>55</v>
      </c>
      <c r="J17" t="s">
        <v>461</v>
      </c>
      <c r="K17">
        <f t="shared" si="0"/>
        <v>22.222222222222221</v>
      </c>
    </row>
    <row r="18" spans="6:11">
      <c r="F18" t="s">
        <v>48</v>
      </c>
      <c r="G18">
        <v>2010</v>
      </c>
      <c r="H18" s="276" t="s">
        <v>107</v>
      </c>
      <c r="I18" s="276" t="s">
        <v>55</v>
      </c>
      <c r="J18" t="s">
        <v>461</v>
      </c>
      <c r="K18">
        <f t="shared" si="0"/>
        <v>22.222222222222221</v>
      </c>
    </row>
    <row r="19" spans="6:11">
      <c r="F19" t="s">
        <v>48</v>
      </c>
      <c r="G19">
        <v>2010</v>
      </c>
      <c r="H19" s="278" t="s">
        <v>460</v>
      </c>
      <c r="I19" s="276" t="s">
        <v>55</v>
      </c>
      <c r="J19" t="s">
        <v>461</v>
      </c>
      <c r="K19">
        <f t="shared" si="0"/>
        <v>22.222222222222221</v>
      </c>
    </row>
    <row r="20" spans="6:11">
      <c r="F20" t="s">
        <v>48</v>
      </c>
      <c r="G20">
        <v>2010</v>
      </c>
      <c r="H20" s="279" t="s">
        <v>178</v>
      </c>
      <c r="I20" s="276" t="s">
        <v>55</v>
      </c>
      <c r="J20" t="s">
        <v>461</v>
      </c>
      <c r="K20">
        <f t="shared" si="0"/>
        <v>22.222222222222221</v>
      </c>
    </row>
    <row r="21" spans="6:11">
      <c r="F21" t="s">
        <v>48</v>
      </c>
      <c r="G21">
        <v>2010</v>
      </c>
      <c r="H21" s="260" t="s">
        <v>107</v>
      </c>
      <c r="I21" s="276" t="s">
        <v>55</v>
      </c>
      <c r="J21" t="s">
        <v>461</v>
      </c>
      <c r="K21">
        <f t="shared" si="0"/>
        <v>22.222222222222221</v>
      </c>
    </row>
    <row r="22" spans="6:11">
      <c r="F22" t="s">
        <v>48</v>
      </c>
      <c r="G22">
        <v>2010</v>
      </c>
      <c r="H22" s="279" t="s">
        <v>460</v>
      </c>
      <c r="I22" s="276" t="s">
        <v>55</v>
      </c>
      <c r="J22" t="s">
        <v>461</v>
      </c>
      <c r="K22">
        <f t="shared" si="0"/>
        <v>22.222222222222221</v>
      </c>
    </row>
    <row r="23" spans="6:11">
      <c r="F23" t="s">
        <v>48</v>
      </c>
      <c r="G23">
        <v>2018</v>
      </c>
      <c r="H23" s="276" t="s">
        <v>165</v>
      </c>
      <c r="I23" s="276" t="s">
        <v>55</v>
      </c>
      <c r="J23" t="s">
        <v>461</v>
      </c>
      <c r="K23">
        <f t="shared" si="0"/>
        <v>22.222222222222221</v>
      </c>
    </row>
    <row r="24" spans="6:11">
      <c r="F24" t="s">
        <v>48</v>
      </c>
      <c r="G24">
        <v>2018</v>
      </c>
      <c r="H24" s="277" t="s">
        <v>97</v>
      </c>
      <c r="I24" s="276" t="s">
        <v>55</v>
      </c>
      <c r="J24" t="s">
        <v>461</v>
      </c>
      <c r="K24">
        <f t="shared" si="0"/>
        <v>22.222222222222221</v>
      </c>
    </row>
    <row r="25" spans="6:11">
      <c r="F25" t="s">
        <v>48</v>
      </c>
      <c r="G25">
        <v>2018</v>
      </c>
      <c r="H25" s="277" t="s">
        <v>98</v>
      </c>
      <c r="I25" s="276" t="s">
        <v>55</v>
      </c>
      <c r="J25" t="s">
        <v>461</v>
      </c>
      <c r="K25">
        <f t="shared" si="0"/>
        <v>22.222222222222221</v>
      </c>
    </row>
    <row r="26" spans="6:11">
      <c r="F26" t="s">
        <v>48</v>
      </c>
      <c r="G26">
        <v>2018</v>
      </c>
      <c r="H26" s="278" t="s">
        <v>168</v>
      </c>
      <c r="I26" s="276" t="s">
        <v>55</v>
      </c>
      <c r="J26" t="s">
        <v>461</v>
      </c>
      <c r="K26">
        <f t="shared" si="0"/>
        <v>22.222222222222221</v>
      </c>
    </row>
    <row r="27" spans="6:11">
      <c r="F27" t="s">
        <v>48</v>
      </c>
      <c r="G27">
        <v>2018</v>
      </c>
      <c r="H27" s="279" t="s">
        <v>165</v>
      </c>
      <c r="I27" s="276" t="s">
        <v>55</v>
      </c>
      <c r="J27" t="s">
        <v>461</v>
      </c>
      <c r="K27">
        <f t="shared" si="0"/>
        <v>22.222222222222221</v>
      </c>
    </row>
    <row r="28" spans="6:11">
      <c r="F28" t="s">
        <v>48</v>
      </c>
      <c r="G28">
        <v>2018</v>
      </c>
      <c r="H28" s="280" t="s">
        <v>97</v>
      </c>
      <c r="I28" s="276" t="s">
        <v>55</v>
      </c>
      <c r="J28" t="s">
        <v>461</v>
      </c>
      <c r="K28">
        <f t="shared" si="0"/>
        <v>22.222222222222221</v>
      </c>
    </row>
    <row r="29" spans="6:11">
      <c r="F29" t="s">
        <v>48</v>
      </c>
      <c r="G29">
        <v>2018</v>
      </c>
      <c r="H29" s="279" t="s">
        <v>65</v>
      </c>
      <c r="I29" s="276" t="s">
        <v>55</v>
      </c>
      <c r="J29" t="s">
        <v>461</v>
      </c>
      <c r="K29">
        <f t="shared" si="0"/>
        <v>22.222222222222221</v>
      </c>
    </row>
    <row r="30" spans="6:11">
      <c r="F30" t="s">
        <v>48</v>
      </c>
      <c r="G30">
        <v>2018</v>
      </c>
      <c r="H30" s="280" t="s">
        <v>98</v>
      </c>
      <c r="I30" s="276" t="s">
        <v>55</v>
      </c>
      <c r="J30" t="s">
        <v>461</v>
      </c>
      <c r="K30">
        <f t="shared" si="0"/>
        <v>22.222222222222221</v>
      </c>
    </row>
    <row r="31" spans="6:11">
      <c r="F31" t="s">
        <v>48</v>
      </c>
      <c r="G31">
        <v>2019</v>
      </c>
      <c r="H31" s="276" t="s">
        <v>107</v>
      </c>
      <c r="I31" s="276" t="s">
        <v>55</v>
      </c>
      <c r="J31" t="s">
        <v>461</v>
      </c>
      <c r="K31">
        <f t="shared" si="0"/>
        <v>22.222222222222221</v>
      </c>
    </row>
    <row r="32" spans="6:11">
      <c r="F32" t="s">
        <v>48</v>
      </c>
      <c r="G32">
        <v>2019</v>
      </c>
      <c r="H32" s="278" t="s">
        <v>460</v>
      </c>
      <c r="I32" s="276" t="s">
        <v>55</v>
      </c>
      <c r="J32" t="s">
        <v>461</v>
      </c>
      <c r="K32">
        <f t="shared" si="0"/>
        <v>22.222222222222221</v>
      </c>
    </row>
    <row r="33" spans="6:11">
      <c r="F33" t="s">
        <v>48</v>
      </c>
      <c r="G33">
        <v>2019</v>
      </c>
      <c r="H33" s="279" t="s">
        <v>178</v>
      </c>
      <c r="I33" s="276" t="s">
        <v>55</v>
      </c>
      <c r="J33" t="s">
        <v>461</v>
      </c>
      <c r="K33">
        <f t="shared" si="0"/>
        <v>22.222222222222221</v>
      </c>
    </row>
    <row r="34" spans="6:11">
      <c r="F34" t="s">
        <v>48</v>
      </c>
      <c r="G34">
        <v>2019</v>
      </c>
      <c r="H34" s="260" t="s">
        <v>107</v>
      </c>
      <c r="I34" s="276" t="s">
        <v>55</v>
      </c>
      <c r="J34" t="s">
        <v>461</v>
      </c>
      <c r="K34">
        <f t="shared" si="0"/>
        <v>22.222222222222221</v>
      </c>
    </row>
    <row r="35" spans="6:11">
      <c r="F35" t="s">
        <v>48</v>
      </c>
      <c r="G35">
        <v>2019</v>
      </c>
      <c r="H35" s="279" t="s">
        <v>460</v>
      </c>
      <c r="I35" s="276" t="s">
        <v>55</v>
      </c>
      <c r="J35" t="s">
        <v>461</v>
      </c>
      <c r="K35">
        <f t="shared" si="0"/>
        <v>22.222222222222221</v>
      </c>
    </row>
    <row r="36" spans="6:11">
      <c r="F36" t="s">
        <v>48</v>
      </c>
      <c r="G36">
        <v>2019</v>
      </c>
      <c r="H36" s="276" t="s">
        <v>165</v>
      </c>
      <c r="I36" s="276" t="s">
        <v>55</v>
      </c>
      <c r="J36" t="s">
        <v>461</v>
      </c>
      <c r="K36">
        <v>0</v>
      </c>
    </row>
    <row r="37" spans="6:11">
      <c r="F37" t="s">
        <v>48</v>
      </c>
      <c r="G37">
        <v>2019</v>
      </c>
      <c r="H37" s="277" t="s">
        <v>97</v>
      </c>
      <c r="I37" s="276" t="s">
        <v>55</v>
      </c>
      <c r="J37" t="s">
        <v>461</v>
      </c>
      <c r="K37">
        <v>0</v>
      </c>
    </row>
    <row r="38" spans="6:11">
      <c r="F38" t="s">
        <v>48</v>
      </c>
      <c r="G38">
        <v>2019</v>
      </c>
      <c r="H38" s="277" t="s">
        <v>98</v>
      </c>
      <c r="I38" s="276" t="s">
        <v>55</v>
      </c>
      <c r="J38" t="s">
        <v>461</v>
      </c>
      <c r="K38">
        <v>0</v>
      </c>
    </row>
    <row r="39" spans="6:11">
      <c r="F39" t="s">
        <v>48</v>
      </c>
      <c r="G39">
        <v>2019</v>
      </c>
      <c r="H39" s="278" t="s">
        <v>168</v>
      </c>
      <c r="I39" s="276" t="s">
        <v>55</v>
      </c>
      <c r="J39" t="s">
        <v>461</v>
      </c>
      <c r="K39">
        <v>0</v>
      </c>
    </row>
    <row r="40" spans="6:11">
      <c r="F40" t="s">
        <v>48</v>
      </c>
      <c r="G40">
        <v>2019</v>
      </c>
      <c r="H40" s="279" t="s">
        <v>165</v>
      </c>
      <c r="I40" s="276" t="s">
        <v>55</v>
      </c>
      <c r="J40" t="s">
        <v>461</v>
      </c>
      <c r="K40">
        <v>0</v>
      </c>
    </row>
    <row r="41" spans="6:11">
      <c r="F41" t="s">
        <v>48</v>
      </c>
      <c r="G41">
        <v>2019</v>
      </c>
      <c r="H41" s="280" t="s">
        <v>97</v>
      </c>
      <c r="I41" s="276" t="s">
        <v>55</v>
      </c>
      <c r="J41" t="s">
        <v>461</v>
      </c>
      <c r="K41">
        <v>0</v>
      </c>
    </row>
    <row r="42" spans="6:11">
      <c r="F42" t="s">
        <v>48</v>
      </c>
      <c r="G42">
        <v>2019</v>
      </c>
      <c r="H42" s="279" t="s">
        <v>65</v>
      </c>
      <c r="I42" s="276" t="s">
        <v>55</v>
      </c>
      <c r="J42" t="s">
        <v>461</v>
      </c>
      <c r="K42">
        <v>0</v>
      </c>
    </row>
    <row r="43" spans="6:11">
      <c r="F43" t="s">
        <v>48</v>
      </c>
      <c r="G43">
        <v>2019</v>
      </c>
      <c r="H43" s="280" t="s">
        <v>98</v>
      </c>
      <c r="I43" s="276" t="s">
        <v>55</v>
      </c>
      <c r="J43" t="s">
        <v>461</v>
      </c>
      <c r="K43">
        <v>0</v>
      </c>
    </row>
    <row r="44" spans="6:11">
      <c r="F44" t="s">
        <v>48</v>
      </c>
      <c r="G44">
        <v>2020</v>
      </c>
      <c r="H44" s="276" t="s">
        <v>107</v>
      </c>
      <c r="I44" s="276" t="s">
        <v>55</v>
      </c>
      <c r="J44" t="s">
        <v>461</v>
      </c>
      <c r="K44">
        <v>0</v>
      </c>
    </row>
    <row r="45" spans="6:11">
      <c r="F45" t="s">
        <v>48</v>
      </c>
      <c r="G45">
        <v>2020</v>
      </c>
      <c r="H45" s="278" t="s">
        <v>460</v>
      </c>
      <c r="I45" s="276" t="s">
        <v>55</v>
      </c>
      <c r="J45" t="s">
        <v>461</v>
      </c>
      <c r="K45">
        <v>0</v>
      </c>
    </row>
    <row r="46" spans="6:11">
      <c r="F46" t="s">
        <v>48</v>
      </c>
      <c r="G46">
        <v>2020</v>
      </c>
      <c r="H46" s="279" t="s">
        <v>178</v>
      </c>
      <c r="I46" s="276" t="s">
        <v>55</v>
      </c>
      <c r="J46" t="s">
        <v>461</v>
      </c>
      <c r="K46">
        <v>0</v>
      </c>
    </row>
    <row r="47" spans="6:11">
      <c r="F47" t="s">
        <v>48</v>
      </c>
      <c r="G47">
        <v>2020</v>
      </c>
      <c r="H47" s="260" t="s">
        <v>107</v>
      </c>
      <c r="I47" s="276" t="s">
        <v>55</v>
      </c>
      <c r="J47" t="s">
        <v>461</v>
      </c>
      <c r="K47">
        <v>0</v>
      </c>
    </row>
    <row r="48" spans="6:11">
      <c r="F48" t="s">
        <v>48</v>
      </c>
      <c r="G48">
        <v>2020</v>
      </c>
      <c r="H48" s="279" t="s">
        <v>460</v>
      </c>
      <c r="I48" s="276" t="s">
        <v>55</v>
      </c>
      <c r="J48" t="s">
        <v>461</v>
      </c>
      <c r="K48">
        <v>0</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B2:AC213"/>
  <sheetViews>
    <sheetView tabSelected="1" workbookViewId="0">
      <selection activeCell="F15" sqref="F15"/>
    </sheetView>
  </sheetViews>
  <sheetFormatPr defaultColWidth="8.88671875" defaultRowHeight="12.6"/>
  <cols>
    <col min="2" max="7" width="41.33203125" customWidth="1"/>
  </cols>
  <sheetData>
    <row r="2" spans="2:12" ht="23.4">
      <c r="B2" s="25" t="s">
        <v>339</v>
      </c>
    </row>
    <row r="3" spans="2:12" ht="23.4">
      <c r="B3" s="25"/>
    </row>
    <row r="4" spans="2:12" ht="14.4">
      <c r="B4" s="184" t="s">
        <v>391</v>
      </c>
    </row>
    <row r="5" spans="2:12" ht="14.4">
      <c r="B5" s="184" t="s">
        <v>392</v>
      </c>
    </row>
    <row r="6" spans="2:12" ht="14.4">
      <c r="B6" s="185"/>
    </row>
    <row r="7" spans="2:12" ht="14.4">
      <c r="B7" s="186" t="s">
        <v>459</v>
      </c>
      <c r="C7" s="187"/>
      <c r="D7" s="187"/>
      <c r="E7" s="187"/>
      <c r="F7" s="187"/>
      <c r="G7" s="187"/>
      <c r="H7" s="187"/>
    </row>
    <row r="8" spans="2:12" ht="13.8" thickBot="1">
      <c r="B8" s="188" t="s">
        <v>4</v>
      </c>
      <c r="C8" s="188" t="s">
        <v>5</v>
      </c>
      <c r="D8" s="188" t="s">
        <v>1</v>
      </c>
      <c r="E8" s="188" t="s">
        <v>7</v>
      </c>
      <c r="F8" s="189" t="s">
        <v>6</v>
      </c>
      <c r="G8" s="190" t="s">
        <v>43</v>
      </c>
      <c r="H8" s="190" t="s">
        <v>432</v>
      </c>
      <c r="I8" s="190" t="s">
        <v>433</v>
      </c>
    </row>
    <row r="9" spans="2:12">
      <c r="B9" t="s">
        <v>458</v>
      </c>
      <c r="C9" s="191" t="s">
        <v>48</v>
      </c>
      <c r="D9" s="191">
        <v>2010</v>
      </c>
      <c r="E9" s="192" t="s">
        <v>500</v>
      </c>
      <c r="F9" s="193" t="s">
        <v>340</v>
      </c>
      <c r="G9" s="193" t="s">
        <v>503</v>
      </c>
      <c r="H9" s="194">
        <f>((41.4+13)/3.6)*1000/100</f>
        <v>151.11111111111111</v>
      </c>
      <c r="I9" s="38">
        <f>H9</f>
        <v>151.11111111111111</v>
      </c>
    </row>
    <row r="10" spans="2:12">
      <c r="B10" t="s">
        <v>458</v>
      </c>
      <c r="C10" s="191" t="s">
        <v>48</v>
      </c>
      <c r="D10" s="191">
        <v>2011</v>
      </c>
      <c r="E10" s="192" t="s">
        <v>500</v>
      </c>
      <c r="F10" s="193" t="s">
        <v>340</v>
      </c>
      <c r="G10" s="193" t="s">
        <v>503</v>
      </c>
      <c r="H10" s="194">
        <f>((41.4+13)/3.6)*1000/100</f>
        <v>151.11111111111111</v>
      </c>
      <c r="I10" s="38">
        <f t="shared" ref="I10:I31" si="0">H10</f>
        <v>151.11111111111111</v>
      </c>
    </row>
    <row r="11" spans="2:12">
      <c r="B11" t="s">
        <v>458</v>
      </c>
      <c r="C11" s="191" t="s">
        <v>48</v>
      </c>
      <c r="D11" s="191">
        <v>2012</v>
      </c>
      <c r="E11" s="192" t="s">
        <v>500</v>
      </c>
      <c r="F11" s="193" t="s">
        <v>340</v>
      </c>
      <c r="G11" s="193" t="s">
        <v>503</v>
      </c>
      <c r="H11" s="194">
        <f>((41.4+13)/3.6)*1000/100</f>
        <v>151.11111111111111</v>
      </c>
      <c r="I11" s="38">
        <f t="shared" si="0"/>
        <v>151.11111111111111</v>
      </c>
    </row>
    <row r="12" spans="2:12">
      <c r="B12" t="s">
        <v>458</v>
      </c>
      <c r="C12" s="191" t="s">
        <v>48</v>
      </c>
      <c r="D12" s="191">
        <v>2013</v>
      </c>
      <c r="E12" s="192" t="s">
        <v>500</v>
      </c>
      <c r="F12" s="193" t="s">
        <v>340</v>
      </c>
      <c r="G12" s="193" t="s">
        <v>503</v>
      </c>
      <c r="H12" s="194">
        <f>((41.4+13)/3.6)*1000/100</f>
        <v>151.11111111111111</v>
      </c>
      <c r="I12" s="38">
        <f t="shared" si="0"/>
        <v>151.11111111111111</v>
      </c>
      <c r="L12" t="s">
        <v>498</v>
      </c>
    </row>
    <row r="13" spans="2:12">
      <c r="B13" t="s">
        <v>458</v>
      </c>
      <c r="C13" s="191" t="s">
        <v>48</v>
      </c>
      <c r="D13" s="191">
        <v>2014</v>
      </c>
      <c r="E13" s="192" t="s">
        <v>500</v>
      </c>
      <c r="F13" s="193" t="s">
        <v>340</v>
      </c>
      <c r="G13" s="193" t="s">
        <v>503</v>
      </c>
      <c r="H13" s="194">
        <f>X177</f>
        <v>84.48730462855157</v>
      </c>
      <c r="I13" s="38">
        <f t="shared" si="0"/>
        <v>84.48730462855157</v>
      </c>
    </row>
    <row r="14" spans="2:12">
      <c r="B14" t="s">
        <v>458</v>
      </c>
      <c r="C14" s="191" t="s">
        <v>48</v>
      </c>
      <c r="D14" s="191">
        <v>2015</v>
      </c>
      <c r="E14" s="192" t="s">
        <v>500</v>
      </c>
      <c r="F14" s="193" t="s">
        <v>340</v>
      </c>
      <c r="G14" s="193" t="s">
        <v>503</v>
      </c>
      <c r="H14" s="194">
        <f>X178</f>
        <v>85.415254544689347</v>
      </c>
      <c r="I14" s="38">
        <f t="shared" si="0"/>
        <v>85.415254544689347</v>
      </c>
    </row>
    <row r="15" spans="2:12">
      <c r="B15" t="s">
        <v>458</v>
      </c>
      <c r="C15" s="191" t="s">
        <v>48</v>
      </c>
      <c r="D15" s="191">
        <v>2016</v>
      </c>
      <c r="E15" s="192" t="s">
        <v>500</v>
      </c>
      <c r="F15" s="193" t="s">
        <v>340</v>
      </c>
      <c r="G15" s="193" t="s">
        <v>503</v>
      </c>
      <c r="H15" s="194">
        <f>X179</f>
        <v>89.729982576734301</v>
      </c>
      <c r="I15" s="38">
        <f t="shared" si="0"/>
        <v>89.729982576734301</v>
      </c>
    </row>
    <row r="16" spans="2:12">
      <c r="B16" t="s">
        <v>458</v>
      </c>
      <c r="C16" s="191" t="s">
        <v>48</v>
      </c>
      <c r="D16" s="191">
        <v>2017</v>
      </c>
      <c r="E16" s="192" t="s">
        <v>500</v>
      </c>
      <c r="F16" s="193" t="s">
        <v>340</v>
      </c>
      <c r="G16" s="193" t="s">
        <v>503</v>
      </c>
      <c r="H16" s="194">
        <f>X180</f>
        <v>87.298000000000002</v>
      </c>
      <c r="I16" s="38">
        <f t="shared" si="0"/>
        <v>87.298000000000002</v>
      </c>
    </row>
    <row r="17" spans="2:12">
      <c r="B17" t="s">
        <v>458</v>
      </c>
      <c r="C17" s="191" t="s">
        <v>48</v>
      </c>
      <c r="D17" s="191">
        <v>2018</v>
      </c>
      <c r="E17" s="192" t="s">
        <v>500</v>
      </c>
      <c r="F17" s="193" t="s">
        <v>340</v>
      </c>
      <c r="G17" s="193" t="s">
        <v>503</v>
      </c>
      <c r="H17" s="194">
        <f>X181</f>
        <v>84.59012100327827</v>
      </c>
      <c r="I17" s="38">
        <f t="shared" si="0"/>
        <v>84.59012100327827</v>
      </c>
    </row>
    <row r="18" spans="2:12">
      <c r="B18" t="s">
        <v>458</v>
      </c>
      <c r="C18" s="191" t="s">
        <v>48</v>
      </c>
      <c r="D18" s="191">
        <v>2019</v>
      </c>
      <c r="E18" s="192" t="s">
        <v>500</v>
      </c>
      <c r="F18" s="193" t="s">
        <v>340</v>
      </c>
      <c r="G18" s="193" t="s">
        <v>503</v>
      </c>
      <c r="H18" s="194">
        <f>39+23.4</f>
        <v>62.4</v>
      </c>
      <c r="I18" s="38">
        <f t="shared" si="0"/>
        <v>62.4</v>
      </c>
      <c r="L18" t="s">
        <v>497</v>
      </c>
    </row>
    <row r="19" spans="2:12">
      <c r="B19" t="s">
        <v>458</v>
      </c>
      <c r="C19" s="191" t="s">
        <v>48</v>
      </c>
      <c r="D19" s="191">
        <v>2020</v>
      </c>
      <c r="E19" s="192" t="s">
        <v>500</v>
      </c>
      <c r="F19" s="193" t="s">
        <v>340</v>
      </c>
      <c r="G19" s="193" t="s">
        <v>503</v>
      </c>
      <c r="H19" s="194">
        <f>39+43.8</f>
        <v>82.8</v>
      </c>
      <c r="I19" s="38">
        <f t="shared" si="0"/>
        <v>82.8</v>
      </c>
      <c r="L19" t="s">
        <v>497</v>
      </c>
    </row>
    <row r="20" spans="2:12">
      <c r="B20" t="s">
        <v>458</v>
      </c>
      <c r="C20" s="191" t="s">
        <v>48</v>
      </c>
      <c r="D20" s="191">
        <v>2021</v>
      </c>
      <c r="E20" s="192" t="s">
        <v>500</v>
      </c>
      <c r="F20" s="193" t="s">
        <v>340</v>
      </c>
      <c r="G20" s="193" t="s">
        <v>503</v>
      </c>
      <c r="H20" s="194">
        <f>39+53.8</f>
        <v>92.8</v>
      </c>
      <c r="I20" s="38">
        <f t="shared" si="0"/>
        <v>92.8</v>
      </c>
      <c r="L20" t="s">
        <v>497</v>
      </c>
    </row>
    <row r="21" spans="2:12">
      <c r="B21" t="s">
        <v>458</v>
      </c>
      <c r="C21" s="191" t="s">
        <v>48</v>
      </c>
      <c r="D21" s="191">
        <v>2022</v>
      </c>
      <c r="E21" s="192" t="s">
        <v>500</v>
      </c>
      <c r="F21" s="193" t="s">
        <v>340</v>
      </c>
      <c r="G21" s="193" t="s">
        <v>503</v>
      </c>
      <c r="H21" s="194">
        <f>H20</f>
        <v>92.8</v>
      </c>
      <c r="I21" s="38">
        <f t="shared" si="0"/>
        <v>92.8</v>
      </c>
      <c r="L21" t="s">
        <v>499</v>
      </c>
    </row>
    <row r="22" spans="2:12">
      <c r="B22" t="s">
        <v>458</v>
      </c>
      <c r="C22" s="191" t="s">
        <v>48</v>
      </c>
      <c r="D22" s="191">
        <v>2023</v>
      </c>
      <c r="E22" s="192" t="s">
        <v>500</v>
      </c>
      <c r="F22" s="193" t="s">
        <v>340</v>
      </c>
      <c r="G22" s="193" t="s">
        <v>503</v>
      </c>
      <c r="H22" s="194">
        <f t="shared" ref="H22:H31" si="1">H21</f>
        <v>92.8</v>
      </c>
      <c r="I22" s="38">
        <f>H22</f>
        <v>92.8</v>
      </c>
    </row>
    <row r="23" spans="2:12">
      <c r="B23" t="s">
        <v>458</v>
      </c>
      <c r="C23" s="191" t="s">
        <v>48</v>
      </c>
      <c r="D23" s="191">
        <v>2024</v>
      </c>
      <c r="E23" s="192" t="s">
        <v>500</v>
      </c>
      <c r="F23" s="193" t="s">
        <v>340</v>
      </c>
      <c r="G23" s="193" t="s">
        <v>503</v>
      </c>
      <c r="H23" s="194">
        <f t="shared" si="1"/>
        <v>92.8</v>
      </c>
      <c r="I23" s="38">
        <f t="shared" si="0"/>
        <v>92.8</v>
      </c>
    </row>
    <row r="24" spans="2:12">
      <c r="B24" t="s">
        <v>458</v>
      </c>
      <c r="C24" s="191" t="s">
        <v>48</v>
      </c>
      <c r="D24" s="191">
        <v>2025</v>
      </c>
      <c r="E24" s="192" t="s">
        <v>500</v>
      </c>
      <c r="F24" s="193" t="s">
        <v>340</v>
      </c>
      <c r="G24" s="193" t="s">
        <v>503</v>
      </c>
      <c r="H24" s="194">
        <f t="shared" si="1"/>
        <v>92.8</v>
      </c>
      <c r="I24" s="38">
        <f t="shared" si="0"/>
        <v>92.8</v>
      </c>
    </row>
    <row r="25" spans="2:12">
      <c r="B25" t="s">
        <v>458</v>
      </c>
      <c r="C25" s="191" t="s">
        <v>48</v>
      </c>
      <c r="D25" s="191">
        <v>2026</v>
      </c>
      <c r="E25" s="192" t="s">
        <v>500</v>
      </c>
      <c r="F25" s="193" t="s">
        <v>340</v>
      </c>
      <c r="G25" s="193" t="s">
        <v>503</v>
      </c>
      <c r="H25" s="194">
        <f t="shared" si="1"/>
        <v>92.8</v>
      </c>
      <c r="I25" s="38">
        <f t="shared" si="0"/>
        <v>92.8</v>
      </c>
    </row>
    <row r="26" spans="2:12">
      <c r="B26" t="s">
        <v>458</v>
      </c>
      <c r="C26" s="191" t="s">
        <v>48</v>
      </c>
      <c r="D26" s="191">
        <v>2027</v>
      </c>
      <c r="E26" s="192" t="s">
        <v>500</v>
      </c>
      <c r="F26" s="193" t="s">
        <v>340</v>
      </c>
      <c r="G26" s="193" t="s">
        <v>503</v>
      </c>
      <c r="H26" s="194">
        <f t="shared" si="1"/>
        <v>92.8</v>
      </c>
      <c r="I26" s="38">
        <f t="shared" si="0"/>
        <v>92.8</v>
      </c>
    </row>
    <row r="27" spans="2:12">
      <c r="B27" t="s">
        <v>458</v>
      </c>
      <c r="C27" s="191" t="s">
        <v>48</v>
      </c>
      <c r="D27" s="191">
        <v>2028</v>
      </c>
      <c r="E27" s="192" t="s">
        <v>500</v>
      </c>
      <c r="F27" s="193" t="s">
        <v>340</v>
      </c>
      <c r="G27" s="193" t="s">
        <v>503</v>
      </c>
      <c r="H27" s="194">
        <f t="shared" si="1"/>
        <v>92.8</v>
      </c>
      <c r="I27" s="38">
        <f t="shared" si="0"/>
        <v>92.8</v>
      </c>
    </row>
    <row r="28" spans="2:12">
      <c r="B28" t="s">
        <v>458</v>
      </c>
      <c r="C28" s="191" t="s">
        <v>48</v>
      </c>
      <c r="D28" s="191">
        <v>2029</v>
      </c>
      <c r="E28" s="192" t="s">
        <v>500</v>
      </c>
      <c r="F28" s="193" t="s">
        <v>340</v>
      </c>
      <c r="G28" s="193" t="s">
        <v>503</v>
      </c>
      <c r="H28" s="194">
        <f t="shared" si="1"/>
        <v>92.8</v>
      </c>
      <c r="I28" s="38">
        <f t="shared" si="0"/>
        <v>92.8</v>
      </c>
    </row>
    <row r="29" spans="2:12">
      <c r="B29" t="s">
        <v>458</v>
      </c>
      <c r="C29" s="191" t="s">
        <v>48</v>
      </c>
      <c r="D29" s="191">
        <v>2030</v>
      </c>
      <c r="E29" s="192" t="s">
        <v>500</v>
      </c>
      <c r="F29" s="193" t="s">
        <v>340</v>
      </c>
      <c r="G29" s="193" t="s">
        <v>503</v>
      </c>
      <c r="H29" s="194">
        <f t="shared" si="1"/>
        <v>92.8</v>
      </c>
      <c r="I29" s="38">
        <f t="shared" si="0"/>
        <v>92.8</v>
      </c>
    </row>
    <row r="30" spans="2:12">
      <c r="B30" t="s">
        <v>458</v>
      </c>
      <c r="C30" s="191" t="s">
        <v>48</v>
      </c>
      <c r="D30" s="191">
        <v>2031</v>
      </c>
      <c r="E30" s="192" t="s">
        <v>500</v>
      </c>
      <c r="F30" s="193" t="s">
        <v>340</v>
      </c>
      <c r="G30" s="193" t="s">
        <v>503</v>
      </c>
      <c r="H30" s="194">
        <f t="shared" si="1"/>
        <v>92.8</v>
      </c>
      <c r="I30" s="38">
        <f t="shared" si="0"/>
        <v>92.8</v>
      </c>
    </row>
    <row r="31" spans="2:12">
      <c r="B31" t="s">
        <v>458</v>
      </c>
      <c r="C31" s="191" t="s">
        <v>48</v>
      </c>
      <c r="D31" s="191">
        <v>2040</v>
      </c>
      <c r="E31" s="192" t="s">
        <v>500</v>
      </c>
      <c r="F31" s="193" t="s">
        <v>340</v>
      </c>
      <c r="G31" s="193" t="s">
        <v>503</v>
      </c>
      <c r="H31" s="194">
        <f t="shared" si="1"/>
        <v>92.8</v>
      </c>
      <c r="I31" s="38">
        <f t="shared" si="0"/>
        <v>92.8</v>
      </c>
    </row>
    <row r="32" spans="2:12">
      <c r="B32" t="s">
        <v>458</v>
      </c>
      <c r="C32" s="359" t="s">
        <v>48</v>
      </c>
      <c r="D32" s="359">
        <v>2041</v>
      </c>
      <c r="E32" s="360" t="s">
        <v>500</v>
      </c>
      <c r="F32" s="359" t="s">
        <v>340</v>
      </c>
      <c r="G32" s="193" t="s">
        <v>503</v>
      </c>
      <c r="H32" s="361">
        <v>0</v>
      </c>
      <c r="I32" s="362">
        <f>H32</f>
        <v>0</v>
      </c>
    </row>
    <row r="33" spans="2:9">
      <c r="B33" t="s">
        <v>458</v>
      </c>
      <c r="C33" s="191" t="s">
        <v>48</v>
      </c>
      <c r="D33" s="191">
        <v>2010</v>
      </c>
      <c r="E33" s="192" t="s">
        <v>501</v>
      </c>
      <c r="F33" s="193" t="s">
        <v>506</v>
      </c>
      <c r="G33" s="193" t="s">
        <v>503</v>
      </c>
      <c r="H33" s="194">
        <f>82.2-39</f>
        <v>43.2</v>
      </c>
      <c r="I33" s="38">
        <f>H33</f>
        <v>43.2</v>
      </c>
    </row>
    <row r="34" spans="2:9">
      <c r="B34" t="s">
        <v>458</v>
      </c>
      <c r="C34" s="191" t="s">
        <v>48</v>
      </c>
      <c r="D34" s="191">
        <v>2011</v>
      </c>
      <c r="E34" s="192" t="s">
        <v>501</v>
      </c>
      <c r="F34" s="193" t="s">
        <v>506</v>
      </c>
      <c r="G34" s="193" t="s">
        <v>503</v>
      </c>
      <c r="H34" s="194">
        <f t="shared" ref="H34:H55" si="2">82.2-39</f>
        <v>43.2</v>
      </c>
      <c r="I34" s="38">
        <f t="shared" ref="I34:I55" si="3">H34</f>
        <v>43.2</v>
      </c>
    </row>
    <row r="35" spans="2:9">
      <c r="B35" t="s">
        <v>458</v>
      </c>
      <c r="C35" s="191" t="s">
        <v>48</v>
      </c>
      <c r="D35" s="191">
        <v>2012</v>
      </c>
      <c r="E35" s="192" t="s">
        <v>501</v>
      </c>
      <c r="F35" s="193" t="s">
        <v>506</v>
      </c>
      <c r="G35" s="193" t="s">
        <v>503</v>
      </c>
      <c r="H35" s="194">
        <f t="shared" si="2"/>
        <v>43.2</v>
      </c>
      <c r="I35" s="38">
        <f t="shared" si="3"/>
        <v>43.2</v>
      </c>
    </row>
    <row r="36" spans="2:9">
      <c r="B36" t="s">
        <v>458</v>
      </c>
      <c r="C36" s="191" t="s">
        <v>48</v>
      </c>
      <c r="D36" s="191">
        <v>2013</v>
      </c>
      <c r="E36" s="192" t="s">
        <v>501</v>
      </c>
      <c r="F36" s="193" t="s">
        <v>506</v>
      </c>
      <c r="G36" s="193" t="s">
        <v>503</v>
      </c>
      <c r="H36" s="194">
        <f t="shared" si="2"/>
        <v>43.2</v>
      </c>
      <c r="I36" s="38">
        <f t="shared" si="3"/>
        <v>43.2</v>
      </c>
    </row>
    <row r="37" spans="2:9">
      <c r="B37" t="s">
        <v>458</v>
      </c>
      <c r="C37" s="191" t="s">
        <v>48</v>
      </c>
      <c r="D37" s="191">
        <v>2014</v>
      </c>
      <c r="E37" s="192" t="s">
        <v>501</v>
      </c>
      <c r="F37" s="193" t="s">
        <v>506</v>
      </c>
      <c r="G37" s="193" t="s">
        <v>503</v>
      </c>
      <c r="H37" s="194">
        <f t="shared" si="2"/>
        <v>43.2</v>
      </c>
      <c r="I37" s="38">
        <f t="shared" si="3"/>
        <v>43.2</v>
      </c>
    </row>
    <row r="38" spans="2:9">
      <c r="B38" t="s">
        <v>458</v>
      </c>
      <c r="C38" s="191" t="s">
        <v>48</v>
      </c>
      <c r="D38" s="191">
        <v>2015</v>
      </c>
      <c r="E38" s="192" t="s">
        <v>501</v>
      </c>
      <c r="F38" s="193" t="s">
        <v>506</v>
      </c>
      <c r="G38" s="193" t="s">
        <v>503</v>
      </c>
      <c r="H38" s="194">
        <f t="shared" si="2"/>
        <v>43.2</v>
      </c>
      <c r="I38" s="38">
        <f t="shared" si="3"/>
        <v>43.2</v>
      </c>
    </row>
    <row r="39" spans="2:9">
      <c r="B39" t="s">
        <v>458</v>
      </c>
      <c r="C39" s="191" t="s">
        <v>48</v>
      </c>
      <c r="D39" s="191">
        <v>2016</v>
      </c>
      <c r="E39" s="192" t="s">
        <v>501</v>
      </c>
      <c r="F39" s="193" t="s">
        <v>506</v>
      </c>
      <c r="G39" s="193" t="s">
        <v>503</v>
      </c>
      <c r="H39" s="194">
        <f t="shared" si="2"/>
        <v>43.2</v>
      </c>
      <c r="I39" s="38">
        <f t="shared" si="3"/>
        <v>43.2</v>
      </c>
    </row>
    <row r="40" spans="2:9">
      <c r="B40" t="s">
        <v>458</v>
      </c>
      <c r="C40" s="191" t="s">
        <v>48</v>
      </c>
      <c r="D40" s="191">
        <v>2017</v>
      </c>
      <c r="E40" s="192" t="s">
        <v>501</v>
      </c>
      <c r="F40" s="193" t="s">
        <v>506</v>
      </c>
      <c r="G40" s="193" t="s">
        <v>503</v>
      </c>
      <c r="H40" s="194">
        <f t="shared" si="2"/>
        <v>43.2</v>
      </c>
      <c r="I40" s="38">
        <f t="shared" si="3"/>
        <v>43.2</v>
      </c>
    </row>
    <row r="41" spans="2:9">
      <c r="B41" t="s">
        <v>458</v>
      </c>
      <c r="C41" s="191" t="s">
        <v>48</v>
      </c>
      <c r="D41" s="191">
        <v>2018</v>
      </c>
      <c r="E41" s="192" t="s">
        <v>501</v>
      </c>
      <c r="F41" s="193" t="s">
        <v>506</v>
      </c>
      <c r="G41" s="193" t="s">
        <v>503</v>
      </c>
      <c r="H41" s="194">
        <f t="shared" si="2"/>
        <v>43.2</v>
      </c>
      <c r="I41" s="38">
        <f t="shared" si="3"/>
        <v>43.2</v>
      </c>
    </row>
    <row r="42" spans="2:9">
      <c r="B42" t="s">
        <v>458</v>
      </c>
      <c r="C42" s="191" t="s">
        <v>48</v>
      </c>
      <c r="D42" s="191">
        <v>2019</v>
      </c>
      <c r="E42" s="192" t="s">
        <v>501</v>
      </c>
      <c r="F42" s="193" t="s">
        <v>506</v>
      </c>
      <c r="G42" s="193" t="s">
        <v>503</v>
      </c>
      <c r="H42" s="194">
        <f t="shared" si="2"/>
        <v>43.2</v>
      </c>
      <c r="I42" s="38">
        <f t="shared" si="3"/>
        <v>43.2</v>
      </c>
    </row>
    <row r="43" spans="2:9">
      <c r="B43" t="s">
        <v>458</v>
      </c>
      <c r="C43" s="191" t="s">
        <v>48</v>
      </c>
      <c r="D43" s="191">
        <v>2020</v>
      </c>
      <c r="E43" s="192" t="s">
        <v>501</v>
      </c>
      <c r="F43" s="193" t="s">
        <v>506</v>
      </c>
      <c r="G43" s="193" t="s">
        <v>503</v>
      </c>
      <c r="H43" s="194">
        <f t="shared" si="2"/>
        <v>43.2</v>
      </c>
      <c r="I43" s="38">
        <f t="shared" si="3"/>
        <v>43.2</v>
      </c>
    </row>
    <row r="44" spans="2:9">
      <c r="B44" t="s">
        <v>458</v>
      </c>
      <c r="C44" s="191" t="s">
        <v>48</v>
      </c>
      <c r="D44" s="191">
        <v>2021</v>
      </c>
      <c r="E44" s="192" t="s">
        <v>501</v>
      </c>
      <c r="F44" s="193" t="s">
        <v>506</v>
      </c>
      <c r="G44" s="193" t="s">
        <v>503</v>
      </c>
      <c r="H44" s="194">
        <f t="shared" si="2"/>
        <v>43.2</v>
      </c>
      <c r="I44" s="38">
        <f t="shared" si="3"/>
        <v>43.2</v>
      </c>
    </row>
    <row r="45" spans="2:9">
      <c r="B45" t="s">
        <v>458</v>
      </c>
      <c r="C45" s="191" t="s">
        <v>48</v>
      </c>
      <c r="D45" s="191">
        <v>2022</v>
      </c>
      <c r="E45" s="192" t="s">
        <v>501</v>
      </c>
      <c r="F45" s="193" t="s">
        <v>506</v>
      </c>
      <c r="G45" s="193" t="s">
        <v>503</v>
      </c>
      <c r="H45" s="194">
        <f t="shared" si="2"/>
        <v>43.2</v>
      </c>
      <c r="I45" s="38">
        <f t="shared" si="3"/>
        <v>43.2</v>
      </c>
    </row>
    <row r="46" spans="2:9">
      <c r="B46" t="s">
        <v>458</v>
      </c>
      <c r="C46" s="191" t="s">
        <v>48</v>
      </c>
      <c r="D46" s="191">
        <v>2023</v>
      </c>
      <c r="E46" s="192" t="s">
        <v>501</v>
      </c>
      <c r="F46" s="193" t="s">
        <v>506</v>
      </c>
      <c r="G46" s="193" t="s">
        <v>503</v>
      </c>
      <c r="H46" s="194">
        <f t="shared" si="2"/>
        <v>43.2</v>
      </c>
      <c r="I46" s="38">
        <f t="shared" si="3"/>
        <v>43.2</v>
      </c>
    </row>
    <row r="47" spans="2:9">
      <c r="B47" t="s">
        <v>458</v>
      </c>
      <c r="C47" s="191" t="s">
        <v>48</v>
      </c>
      <c r="D47" s="191">
        <v>2024</v>
      </c>
      <c r="E47" s="192" t="s">
        <v>501</v>
      </c>
      <c r="F47" s="193" t="s">
        <v>506</v>
      </c>
      <c r="G47" s="193" t="s">
        <v>503</v>
      </c>
      <c r="H47" s="194">
        <f t="shared" si="2"/>
        <v>43.2</v>
      </c>
      <c r="I47" s="38">
        <f t="shared" si="3"/>
        <v>43.2</v>
      </c>
    </row>
    <row r="48" spans="2:9">
      <c r="B48" t="s">
        <v>458</v>
      </c>
      <c r="C48" s="191" t="s">
        <v>48</v>
      </c>
      <c r="D48" s="191">
        <v>2025</v>
      </c>
      <c r="E48" s="192" t="s">
        <v>501</v>
      </c>
      <c r="F48" s="193" t="s">
        <v>506</v>
      </c>
      <c r="G48" s="193" t="s">
        <v>503</v>
      </c>
      <c r="H48" s="194">
        <f t="shared" si="2"/>
        <v>43.2</v>
      </c>
      <c r="I48" s="38">
        <f t="shared" si="3"/>
        <v>43.2</v>
      </c>
    </row>
    <row r="49" spans="2:9">
      <c r="B49" t="s">
        <v>458</v>
      </c>
      <c r="C49" s="191" t="s">
        <v>48</v>
      </c>
      <c r="D49" s="191">
        <v>2026</v>
      </c>
      <c r="E49" s="192" t="s">
        <v>501</v>
      </c>
      <c r="F49" s="193" t="s">
        <v>506</v>
      </c>
      <c r="G49" s="193" t="s">
        <v>503</v>
      </c>
      <c r="H49" s="194">
        <f t="shared" si="2"/>
        <v>43.2</v>
      </c>
      <c r="I49" s="38">
        <f t="shared" si="3"/>
        <v>43.2</v>
      </c>
    </row>
    <row r="50" spans="2:9">
      <c r="B50" t="s">
        <v>458</v>
      </c>
      <c r="C50" s="191" t="s">
        <v>48</v>
      </c>
      <c r="D50" s="191">
        <v>2027</v>
      </c>
      <c r="E50" s="192" t="s">
        <v>501</v>
      </c>
      <c r="F50" s="193" t="s">
        <v>506</v>
      </c>
      <c r="G50" s="193" t="s">
        <v>503</v>
      </c>
      <c r="H50" s="194">
        <f t="shared" si="2"/>
        <v>43.2</v>
      </c>
      <c r="I50" s="38">
        <f t="shared" si="3"/>
        <v>43.2</v>
      </c>
    </row>
    <row r="51" spans="2:9">
      <c r="B51" t="s">
        <v>458</v>
      </c>
      <c r="C51" s="191" t="s">
        <v>48</v>
      </c>
      <c r="D51" s="191">
        <v>2028</v>
      </c>
      <c r="E51" s="192" t="s">
        <v>501</v>
      </c>
      <c r="F51" s="193" t="s">
        <v>506</v>
      </c>
      <c r="G51" s="193" t="s">
        <v>503</v>
      </c>
      <c r="H51" s="194">
        <f t="shared" si="2"/>
        <v>43.2</v>
      </c>
      <c r="I51" s="38">
        <f t="shared" si="3"/>
        <v>43.2</v>
      </c>
    </row>
    <row r="52" spans="2:9">
      <c r="B52" t="s">
        <v>458</v>
      </c>
      <c r="C52" s="191" t="s">
        <v>48</v>
      </c>
      <c r="D52" s="191">
        <v>2029</v>
      </c>
      <c r="E52" s="192" t="s">
        <v>501</v>
      </c>
      <c r="F52" s="193" t="s">
        <v>506</v>
      </c>
      <c r="G52" s="193" t="s">
        <v>503</v>
      </c>
      <c r="H52" s="194">
        <f t="shared" si="2"/>
        <v>43.2</v>
      </c>
      <c r="I52" s="38">
        <f t="shared" si="3"/>
        <v>43.2</v>
      </c>
    </row>
    <row r="53" spans="2:9">
      <c r="B53" t="s">
        <v>458</v>
      </c>
      <c r="C53" s="191" t="s">
        <v>48</v>
      </c>
      <c r="D53" s="191">
        <v>2030</v>
      </c>
      <c r="E53" s="192" t="s">
        <v>501</v>
      </c>
      <c r="F53" s="193" t="s">
        <v>506</v>
      </c>
      <c r="G53" s="193" t="s">
        <v>503</v>
      </c>
      <c r="H53" s="194">
        <f t="shared" si="2"/>
        <v>43.2</v>
      </c>
      <c r="I53" s="38">
        <f t="shared" si="3"/>
        <v>43.2</v>
      </c>
    </row>
    <row r="54" spans="2:9">
      <c r="B54" t="s">
        <v>458</v>
      </c>
      <c r="C54" s="191" t="s">
        <v>48</v>
      </c>
      <c r="D54" s="191">
        <v>2031</v>
      </c>
      <c r="E54" s="192" t="s">
        <v>501</v>
      </c>
      <c r="F54" s="193" t="s">
        <v>506</v>
      </c>
      <c r="G54" s="193" t="s">
        <v>503</v>
      </c>
      <c r="H54" s="194">
        <f t="shared" si="2"/>
        <v>43.2</v>
      </c>
      <c r="I54" s="38">
        <f t="shared" si="3"/>
        <v>43.2</v>
      </c>
    </row>
    <row r="55" spans="2:9">
      <c r="B55" t="s">
        <v>458</v>
      </c>
      <c r="C55" s="191" t="s">
        <v>48</v>
      </c>
      <c r="D55" s="191">
        <v>2040</v>
      </c>
      <c r="E55" s="192" t="s">
        <v>501</v>
      </c>
      <c r="F55" s="193" t="s">
        <v>506</v>
      </c>
      <c r="G55" s="193" t="s">
        <v>503</v>
      </c>
      <c r="H55" s="194">
        <f t="shared" si="2"/>
        <v>43.2</v>
      </c>
      <c r="I55" s="38">
        <f t="shared" si="3"/>
        <v>43.2</v>
      </c>
    </row>
    <row r="56" spans="2:9">
      <c r="B56" s="363" t="s">
        <v>458</v>
      </c>
      <c r="C56" s="359" t="s">
        <v>48</v>
      </c>
      <c r="D56" s="359">
        <v>2041</v>
      </c>
      <c r="E56" s="360" t="s">
        <v>501</v>
      </c>
      <c r="F56" s="193" t="s">
        <v>506</v>
      </c>
      <c r="G56" s="359" t="s">
        <v>503</v>
      </c>
      <c r="H56" s="361">
        <v>0</v>
      </c>
      <c r="I56" s="362">
        <v>0</v>
      </c>
    </row>
    <row r="57" spans="2:9">
      <c r="B57" t="s">
        <v>458</v>
      </c>
      <c r="C57" s="191" t="s">
        <v>48</v>
      </c>
      <c r="D57" s="191">
        <v>2010</v>
      </c>
      <c r="E57" s="192" t="s">
        <v>504</v>
      </c>
      <c r="F57" s="193" t="s">
        <v>502</v>
      </c>
      <c r="G57" s="193" t="s">
        <v>503</v>
      </c>
      <c r="H57" s="194">
        <f>H9+H33</f>
        <v>194.31111111111113</v>
      </c>
      <c r="I57" s="38">
        <f>H57</f>
        <v>194.31111111111113</v>
      </c>
    </row>
    <row r="58" spans="2:9">
      <c r="B58" t="s">
        <v>458</v>
      </c>
      <c r="C58" s="191" t="s">
        <v>48</v>
      </c>
      <c r="D58" s="191">
        <v>2011</v>
      </c>
      <c r="E58" s="192" t="s">
        <v>504</v>
      </c>
      <c r="F58" s="193" t="s">
        <v>502</v>
      </c>
      <c r="G58" s="193" t="s">
        <v>503</v>
      </c>
      <c r="H58" s="194">
        <f t="shared" ref="H58:H80" si="4">H10+H34</f>
        <v>194.31111111111113</v>
      </c>
      <c r="I58" s="38">
        <f t="shared" ref="I58:I79" si="5">H58</f>
        <v>194.31111111111113</v>
      </c>
    </row>
    <row r="59" spans="2:9">
      <c r="B59" t="s">
        <v>458</v>
      </c>
      <c r="C59" s="191" t="s">
        <v>48</v>
      </c>
      <c r="D59" s="191">
        <v>2012</v>
      </c>
      <c r="E59" s="192" t="s">
        <v>504</v>
      </c>
      <c r="F59" s="193" t="s">
        <v>502</v>
      </c>
      <c r="G59" s="193" t="s">
        <v>503</v>
      </c>
      <c r="H59" s="194">
        <f t="shared" si="4"/>
        <v>194.31111111111113</v>
      </c>
      <c r="I59" s="38">
        <f t="shared" si="5"/>
        <v>194.31111111111113</v>
      </c>
    </row>
    <row r="60" spans="2:9">
      <c r="B60" t="s">
        <v>458</v>
      </c>
      <c r="C60" s="191" t="s">
        <v>48</v>
      </c>
      <c r="D60" s="191">
        <v>2013</v>
      </c>
      <c r="E60" s="192" t="s">
        <v>504</v>
      </c>
      <c r="F60" s="193" t="s">
        <v>502</v>
      </c>
      <c r="G60" s="193" t="s">
        <v>503</v>
      </c>
      <c r="H60" s="194">
        <f t="shared" si="4"/>
        <v>194.31111111111113</v>
      </c>
      <c r="I60" s="38">
        <f t="shared" si="5"/>
        <v>194.31111111111113</v>
      </c>
    </row>
    <row r="61" spans="2:9">
      <c r="B61" t="s">
        <v>458</v>
      </c>
      <c r="C61" s="191" t="s">
        <v>48</v>
      </c>
      <c r="D61" s="191">
        <v>2014</v>
      </c>
      <c r="E61" s="192" t="s">
        <v>504</v>
      </c>
      <c r="F61" s="193" t="s">
        <v>502</v>
      </c>
      <c r="G61" s="193" t="s">
        <v>503</v>
      </c>
      <c r="H61" s="194">
        <f t="shared" si="4"/>
        <v>127.68730462855157</v>
      </c>
      <c r="I61" s="38">
        <f t="shared" si="5"/>
        <v>127.68730462855157</v>
      </c>
    </row>
    <row r="62" spans="2:9">
      <c r="B62" t="s">
        <v>458</v>
      </c>
      <c r="C62" s="191" t="s">
        <v>48</v>
      </c>
      <c r="D62" s="191">
        <v>2015</v>
      </c>
      <c r="E62" s="192" t="s">
        <v>504</v>
      </c>
      <c r="F62" s="193" t="s">
        <v>502</v>
      </c>
      <c r="G62" s="193" t="s">
        <v>503</v>
      </c>
      <c r="H62" s="194">
        <f t="shared" si="4"/>
        <v>128.61525454468935</v>
      </c>
      <c r="I62" s="38">
        <f t="shared" si="5"/>
        <v>128.61525454468935</v>
      </c>
    </row>
    <row r="63" spans="2:9">
      <c r="B63" t="s">
        <v>458</v>
      </c>
      <c r="C63" s="191" t="s">
        <v>48</v>
      </c>
      <c r="D63" s="191">
        <v>2016</v>
      </c>
      <c r="E63" s="192" t="s">
        <v>504</v>
      </c>
      <c r="F63" s="193" t="s">
        <v>502</v>
      </c>
      <c r="G63" s="193" t="s">
        <v>503</v>
      </c>
      <c r="H63" s="194">
        <f t="shared" si="4"/>
        <v>132.92998257673429</v>
      </c>
      <c r="I63" s="38">
        <f t="shared" si="5"/>
        <v>132.92998257673429</v>
      </c>
    </row>
    <row r="64" spans="2:9">
      <c r="B64" t="s">
        <v>458</v>
      </c>
      <c r="C64" s="191" t="s">
        <v>48</v>
      </c>
      <c r="D64" s="191">
        <v>2017</v>
      </c>
      <c r="E64" s="192" t="s">
        <v>504</v>
      </c>
      <c r="F64" s="193" t="s">
        <v>502</v>
      </c>
      <c r="G64" s="193" t="s">
        <v>503</v>
      </c>
      <c r="H64" s="194">
        <f t="shared" si="4"/>
        <v>130.49799999999999</v>
      </c>
      <c r="I64" s="38">
        <f t="shared" si="5"/>
        <v>130.49799999999999</v>
      </c>
    </row>
    <row r="65" spans="2:9">
      <c r="B65" t="s">
        <v>458</v>
      </c>
      <c r="C65" s="191" t="s">
        <v>48</v>
      </c>
      <c r="D65" s="191">
        <v>2018</v>
      </c>
      <c r="E65" s="192" t="s">
        <v>504</v>
      </c>
      <c r="F65" s="193" t="s">
        <v>502</v>
      </c>
      <c r="G65" s="193" t="s">
        <v>503</v>
      </c>
      <c r="H65" s="194">
        <f t="shared" si="4"/>
        <v>127.79012100327827</v>
      </c>
      <c r="I65" s="38">
        <f t="shared" si="5"/>
        <v>127.79012100327827</v>
      </c>
    </row>
    <row r="66" spans="2:9">
      <c r="B66" t="s">
        <v>458</v>
      </c>
      <c r="C66" s="191" t="s">
        <v>48</v>
      </c>
      <c r="D66" s="191">
        <v>2019</v>
      </c>
      <c r="E66" s="192" t="s">
        <v>504</v>
      </c>
      <c r="F66" s="193" t="s">
        <v>502</v>
      </c>
      <c r="G66" s="193" t="s">
        <v>503</v>
      </c>
      <c r="H66" s="194">
        <f t="shared" si="4"/>
        <v>105.6</v>
      </c>
      <c r="I66" s="38">
        <f t="shared" si="5"/>
        <v>105.6</v>
      </c>
    </row>
    <row r="67" spans="2:9">
      <c r="B67" t="s">
        <v>458</v>
      </c>
      <c r="C67" s="191" t="s">
        <v>48</v>
      </c>
      <c r="D67" s="191">
        <v>2020</v>
      </c>
      <c r="E67" s="192" t="s">
        <v>504</v>
      </c>
      <c r="F67" s="193" t="s">
        <v>502</v>
      </c>
      <c r="G67" s="193" t="s">
        <v>503</v>
      </c>
      <c r="H67" s="194">
        <f t="shared" si="4"/>
        <v>126</v>
      </c>
      <c r="I67" s="38">
        <f t="shared" si="5"/>
        <v>126</v>
      </c>
    </row>
    <row r="68" spans="2:9">
      <c r="B68" t="s">
        <v>458</v>
      </c>
      <c r="C68" s="191" t="s">
        <v>48</v>
      </c>
      <c r="D68" s="191">
        <v>2021</v>
      </c>
      <c r="E68" s="192" t="s">
        <v>504</v>
      </c>
      <c r="F68" s="193" t="s">
        <v>502</v>
      </c>
      <c r="G68" s="193" t="s">
        <v>503</v>
      </c>
      <c r="H68" s="194">
        <f t="shared" si="4"/>
        <v>136</v>
      </c>
      <c r="I68" s="38">
        <f t="shared" si="5"/>
        <v>136</v>
      </c>
    </row>
    <row r="69" spans="2:9">
      <c r="B69" t="s">
        <v>458</v>
      </c>
      <c r="C69" s="191" t="s">
        <v>48</v>
      </c>
      <c r="D69" s="191">
        <v>2022</v>
      </c>
      <c r="E69" s="192" t="s">
        <v>504</v>
      </c>
      <c r="F69" s="193" t="s">
        <v>502</v>
      </c>
      <c r="G69" s="193" t="s">
        <v>503</v>
      </c>
      <c r="H69" s="194">
        <f t="shared" si="4"/>
        <v>136</v>
      </c>
      <c r="I69" s="38">
        <f t="shared" si="5"/>
        <v>136</v>
      </c>
    </row>
    <row r="70" spans="2:9">
      <c r="B70" t="s">
        <v>458</v>
      </c>
      <c r="C70" s="191" t="s">
        <v>48</v>
      </c>
      <c r="D70" s="191">
        <v>2023</v>
      </c>
      <c r="E70" s="192" t="s">
        <v>504</v>
      </c>
      <c r="F70" s="193" t="s">
        <v>502</v>
      </c>
      <c r="G70" s="193" t="s">
        <v>503</v>
      </c>
      <c r="H70" s="194">
        <f t="shared" si="4"/>
        <v>136</v>
      </c>
      <c r="I70" s="38">
        <f t="shared" si="5"/>
        <v>136</v>
      </c>
    </row>
    <row r="71" spans="2:9">
      <c r="B71" t="s">
        <v>458</v>
      </c>
      <c r="C71" s="191" t="s">
        <v>48</v>
      </c>
      <c r="D71" s="191">
        <v>2024</v>
      </c>
      <c r="E71" s="192" t="s">
        <v>504</v>
      </c>
      <c r="F71" s="193" t="s">
        <v>502</v>
      </c>
      <c r="G71" s="193" t="s">
        <v>503</v>
      </c>
      <c r="H71" s="194">
        <f t="shared" si="4"/>
        <v>136</v>
      </c>
      <c r="I71" s="38">
        <f t="shared" si="5"/>
        <v>136</v>
      </c>
    </row>
    <row r="72" spans="2:9">
      <c r="B72" t="s">
        <v>458</v>
      </c>
      <c r="C72" s="191" t="s">
        <v>48</v>
      </c>
      <c r="D72" s="191">
        <v>2025</v>
      </c>
      <c r="E72" s="192" t="s">
        <v>504</v>
      </c>
      <c r="F72" s="193" t="s">
        <v>502</v>
      </c>
      <c r="G72" s="193" t="s">
        <v>503</v>
      </c>
      <c r="H72" s="194">
        <f t="shared" si="4"/>
        <v>136</v>
      </c>
      <c r="I72" s="38">
        <f t="shared" si="5"/>
        <v>136</v>
      </c>
    </row>
    <row r="73" spans="2:9">
      <c r="B73" t="s">
        <v>458</v>
      </c>
      <c r="C73" s="191" t="s">
        <v>48</v>
      </c>
      <c r="D73" s="191">
        <v>2026</v>
      </c>
      <c r="E73" s="192" t="s">
        <v>504</v>
      </c>
      <c r="F73" s="193" t="s">
        <v>502</v>
      </c>
      <c r="G73" s="193" t="s">
        <v>503</v>
      </c>
      <c r="H73" s="194">
        <f t="shared" si="4"/>
        <v>136</v>
      </c>
      <c r="I73" s="38">
        <f t="shared" si="5"/>
        <v>136</v>
      </c>
    </row>
    <row r="74" spans="2:9">
      <c r="B74" t="s">
        <v>458</v>
      </c>
      <c r="C74" s="191" t="s">
        <v>48</v>
      </c>
      <c r="D74" s="191">
        <v>2027</v>
      </c>
      <c r="E74" s="192" t="s">
        <v>504</v>
      </c>
      <c r="F74" s="193" t="s">
        <v>502</v>
      </c>
      <c r="G74" s="193" t="s">
        <v>503</v>
      </c>
      <c r="H74" s="194">
        <f t="shared" si="4"/>
        <v>136</v>
      </c>
      <c r="I74" s="38">
        <f t="shared" si="5"/>
        <v>136</v>
      </c>
    </row>
    <row r="75" spans="2:9">
      <c r="B75" t="s">
        <v>458</v>
      </c>
      <c r="C75" s="191" t="s">
        <v>48</v>
      </c>
      <c r="D75" s="191">
        <v>2028</v>
      </c>
      <c r="E75" s="192" t="s">
        <v>504</v>
      </c>
      <c r="F75" s="193" t="s">
        <v>502</v>
      </c>
      <c r="G75" s="193" t="s">
        <v>503</v>
      </c>
      <c r="H75" s="194">
        <f t="shared" si="4"/>
        <v>136</v>
      </c>
      <c r="I75" s="38">
        <f t="shared" si="5"/>
        <v>136</v>
      </c>
    </row>
    <row r="76" spans="2:9">
      <c r="B76" t="s">
        <v>458</v>
      </c>
      <c r="C76" s="191" t="s">
        <v>48</v>
      </c>
      <c r="D76" s="191">
        <v>2029</v>
      </c>
      <c r="E76" s="192" t="s">
        <v>504</v>
      </c>
      <c r="F76" s="193" t="s">
        <v>502</v>
      </c>
      <c r="G76" s="193" t="s">
        <v>503</v>
      </c>
      <c r="H76" s="194">
        <f t="shared" si="4"/>
        <v>136</v>
      </c>
      <c r="I76" s="38">
        <f t="shared" si="5"/>
        <v>136</v>
      </c>
    </row>
    <row r="77" spans="2:9">
      <c r="B77" t="s">
        <v>458</v>
      </c>
      <c r="C77" s="191" t="s">
        <v>48</v>
      </c>
      <c r="D77" s="191">
        <v>2030</v>
      </c>
      <c r="E77" s="192" t="s">
        <v>504</v>
      </c>
      <c r="F77" s="193" t="s">
        <v>502</v>
      </c>
      <c r="G77" s="193" t="s">
        <v>503</v>
      </c>
      <c r="H77" s="194">
        <f t="shared" si="4"/>
        <v>136</v>
      </c>
      <c r="I77" s="38">
        <f t="shared" si="5"/>
        <v>136</v>
      </c>
    </row>
    <row r="78" spans="2:9">
      <c r="B78" t="s">
        <v>458</v>
      </c>
      <c r="C78" s="191" t="s">
        <v>48</v>
      </c>
      <c r="D78" s="191">
        <v>2031</v>
      </c>
      <c r="E78" s="192" t="s">
        <v>504</v>
      </c>
      <c r="F78" s="193" t="s">
        <v>502</v>
      </c>
      <c r="G78" s="193" t="s">
        <v>503</v>
      </c>
      <c r="H78" s="194">
        <f t="shared" si="4"/>
        <v>136</v>
      </c>
      <c r="I78" s="38">
        <f t="shared" si="5"/>
        <v>136</v>
      </c>
    </row>
    <row r="79" spans="2:9">
      <c r="B79" t="s">
        <v>458</v>
      </c>
      <c r="C79" s="191" t="s">
        <v>48</v>
      </c>
      <c r="D79" s="191">
        <v>2040</v>
      </c>
      <c r="E79" s="192" t="s">
        <v>504</v>
      </c>
      <c r="F79" s="193" t="s">
        <v>502</v>
      </c>
      <c r="G79" s="193" t="s">
        <v>503</v>
      </c>
      <c r="H79" s="194">
        <f t="shared" si="4"/>
        <v>136</v>
      </c>
      <c r="I79" s="38">
        <f t="shared" si="5"/>
        <v>136</v>
      </c>
    </row>
    <row r="80" spans="2:9">
      <c r="B80" s="363" t="s">
        <v>458</v>
      </c>
      <c r="C80" s="359" t="s">
        <v>48</v>
      </c>
      <c r="D80" s="359">
        <v>2041</v>
      </c>
      <c r="E80" s="360" t="s">
        <v>504</v>
      </c>
      <c r="F80" s="359" t="s">
        <v>502</v>
      </c>
      <c r="G80" s="359" t="s">
        <v>503</v>
      </c>
      <c r="H80" s="361">
        <f t="shared" si="4"/>
        <v>0</v>
      </c>
      <c r="I80" s="362">
        <v>0</v>
      </c>
    </row>
    <row r="81" spans="2:9">
      <c r="B81" t="s">
        <v>458</v>
      </c>
      <c r="C81" s="191" t="s">
        <v>48</v>
      </c>
      <c r="D81" s="191">
        <v>2010</v>
      </c>
      <c r="E81" s="192" t="s">
        <v>505</v>
      </c>
      <c r="F81" s="191" t="s">
        <v>502</v>
      </c>
      <c r="G81" s="191" t="s">
        <v>503</v>
      </c>
      <c r="H81" s="364">
        <f>H33</f>
        <v>43.2</v>
      </c>
      <c r="I81" s="38">
        <f>H81</f>
        <v>43.2</v>
      </c>
    </row>
    <row r="82" spans="2:9">
      <c r="B82" t="s">
        <v>458</v>
      </c>
      <c r="C82" s="191" t="s">
        <v>48</v>
      </c>
      <c r="D82" s="191">
        <v>2011</v>
      </c>
      <c r="E82" s="192" t="s">
        <v>505</v>
      </c>
      <c r="F82" s="191" t="s">
        <v>502</v>
      </c>
      <c r="G82" s="191" t="s">
        <v>503</v>
      </c>
      <c r="H82" s="364">
        <f t="shared" ref="H82:H104" si="6">H34</f>
        <v>43.2</v>
      </c>
      <c r="I82" s="38">
        <f t="shared" ref="I82:I103" si="7">H82</f>
        <v>43.2</v>
      </c>
    </row>
    <row r="83" spans="2:9">
      <c r="B83" t="s">
        <v>458</v>
      </c>
      <c r="C83" s="191" t="s">
        <v>48</v>
      </c>
      <c r="D83" s="191">
        <v>2012</v>
      </c>
      <c r="E83" s="192" t="s">
        <v>505</v>
      </c>
      <c r="F83" s="191" t="s">
        <v>502</v>
      </c>
      <c r="G83" s="191" t="s">
        <v>503</v>
      </c>
      <c r="H83" s="364">
        <f t="shared" si="6"/>
        <v>43.2</v>
      </c>
      <c r="I83" s="38">
        <f t="shared" si="7"/>
        <v>43.2</v>
      </c>
    </row>
    <row r="84" spans="2:9">
      <c r="B84" t="s">
        <v>458</v>
      </c>
      <c r="C84" s="191" t="s">
        <v>48</v>
      </c>
      <c r="D84" s="191">
        <v>2013</v>
      </c>
      <c r="E84" s="192" t="s">
        <v>505</v>
      </c>
      <c r="F84" s="191" t="s">
        <v>502</v>
      </c>
      <c r="G84" s="191" t="s">
        <v>503</v>
      </c>
      <c r="H84" s="364">
        <f t="shared" si="6"/>
        <v>43.2</v>
      </c>
      <c r="I84" s="38">
        <f t="shared" si="7"/>
        <v>43.2</v>
      </c>
    </row>
    <row r="85" spans="2:9">
      <c r="B85" t="s">
        <v>458</v>
      </c>
      <c r="C85" s="191" t="s">
        <v>48</v>
      </c>
      <c r="D85" s="191">
        <v>2014</v>
      </c>
      <c r="E85" s="192" t="s">
        <v>505</v>
      </c>
      <c r="F85" s="191" t="s">
        <v>502</v>
      </c>
      <c r="G85" s="191" t="s">
        <v>503</v>
      </c>
      <c r="H85" s="364">
        <f t="shared" si="6"/>
        <v>43.2</v>
      </c>
      <c r="I85" s="38">
        <f t="shared" si="7"/>
        <v>43.2</v>
      </c>
    </row>
    <row r="86" spans="2:9">
      <c r="B86" t="s">
        <v>458</v>
      </c>
      <c r="C86" s="191" t="s">
        <v>48</v>
      </c>
      <c r="D86" s="191">
        <v>2015</v>
      </c>
      <c r="E86" s="192" t="s">
        <v>505</v>
      </c>
      <c r="F86" s="191" t="s">
        <v>502</v>
      </c>
      <c r="G86" s="191" t="s">
        <v>503</v>
      </c>
      <c r="H86" s="364">
        <f t="shared" si="6"/>
        <v>43.2</v>
      </c>
      <c r="I86" s="38">
        <f t="shared" si="7"/>
        <v>43.2</v>
      </c>
    </row>
    <row r="87" spans="2:9">
      <c r="B87" t="s">
        <v>458</v>
      </c>
      <c r="C87" s="191" t="s">
        <v>48</v>
      </c>
      <c r="D87" s="191">
        <v>2016</v>
      </c>
      <c r="E87" s="192" t="s">
        <v>505</v>
      </c>
      <c r="F87" s="191" t="s">
        <v>502</v>
      </c>
      <c r="G87" s="191" t="s">
        <v>503</v>
      </c>
      <c r="H87" s="364">
        <f t="shared" si="6"/>
        <v>43.2</v>
      </c>
      <c r="I87" s="38">
        <f t="shared" si="7"/>
        <v>43.2</v>
      </c>
    </row>
    <row r="88" spans="2:9">
      <c r="B88" t="s">
        <v>458</v>
      </c>
      <c r="C88" s="191" t="s">
        <v>48</v>
      </c>
      <c r="D88" s="191">
        <v>2017</v>
      </c>
      <c r="E88" s="192" t="s">
        <v>505</v>
      </c>
      <c r="F88" s="191" t="s">
        <v>502</v>
      </c>
      <c r="G88" s="191" t="s">
        <v>503</v>
      </c>
      <c r="H88" s="364">
        <f t="shared" si="6"/>
        <v>43.2</v>
      </c>
      <c r="I88" s="38">
        <f t="shared" si="7"/>
        <v>43.2</v>
      </c>
    </row>
    <row r="89" spans="2:9">
      <c r="B89" t="s">
        <v>458</v>
      </c>
      <c r="C89" s="191" t="s">
        <v>48</v>
      </c>
      <c r="D89" s="191">
        <v>2018</v>
      </c>
      <c r="E89" s="192" t="s">
        <v>505</v>
      </c>
      <c r="F89" s="191" t="s">
        <v>502</v>
      </c>
      <c r="G89" s="191" t="s">
        <v>503</v>
      </c>
      <c r="H89" s="364">
        <f t="shared" si="6"/>
        <v>43.2</v>
      </c>
      <c r="I89" s="38">
        <f t="shared" si="7"/>
        <v>43.2</v>
      </c>
    </row>
    <row r="90" spans="2:9">
      <c r="B90" t="s">
        <v>458</v>
      </c>
      <c r="C90" s="191" t="s">
        <v>48</v>
      </c>
      <c r="D90" s="191">
        <v>2019</v>
      </c>
      <c r="E90" s="192" t="s">
        <v>505</v>
      </c>
      <c r="F90" s="191" t="s">
        <v>502</v>
      </c>
      <c r="G90" s="191" t="s">
        <v>503</v>
      </c>
      <c r="H90" s="364">
        <f t="shared" si="6"/>
        <v>43.2</v>
      </c>
      <c r="I90" s="38">
        <f t="shared" si="7"/>
        <v>43.2</v>
      </c>
    </row>
    <row r="91" spans="2:9">
      <c r="B91" t="s">
        <v>458</v>
      </c>
      <c r="C91" s="191" t="s">
        <v>48</v>
      </c>
      <c r="D91" s="191">
        <v>2020</v>
      </c>
      <c r="E91" s="192" t="s">
        <v>505</v>
      </c>
      <c r="F91" s="191" t="s">
        <v>502</v>
      </c>
      <c r="G91" s="191" t="s">
        <v>503</v>
      </c>
      <c r="H91" s="364">
        <f t="shared" si="6"/>
        <v>43.2</v>
      </c>
      <c r="I91" s="38">
        <f t="shared" si="7"/>
        <v>43.2</v>
      </c>
    </row>
    <row r="92" spans="2:9">
      <c r="B92" t="s">
        <v>458</v>
      </c>
      <c r="C92" s="191" t="s">
        <v>48</v>
      </c>
      <c r="D92" s="191">
        <v>2021</v>
      </c>
      <c r="E92" s="192" t="s">
        <v>505</v>
      </c>
      <c r="F92" s="191" t="s">
        <v>502</v>
      </c>
      <c r="G92" s="191" t="s">
        <v>503</v>
      </c>
      <c r="H92" s="364">
        <f t="shared" si="6"/>
        <v>43.2</v>
      </c>
      <c r="I92" s="38">
        <f t="shared" si="7"/>
        <v>43.2</v>
      </c>
    </row>
    <row r="93" spans="2:9">
      <c r="B93" t="s">
        <v>458</v>
      </c>
      <c r="C93" s="191" t="s">
        <v>48</v>
      </c>
      <c r="D93" s="191">
        <v>2022</v>
      </c>
      <c r="E93" s="192" t="s">
        <v>505</v>
      </c>
      <c r="F93" s="191" t="s">
        <v>502</v>
      </c>
      <c r="G93" s="191" t="s">
        <v>503</v>
      </c>
      <c r="H93" s="364">
        <f t="shared" si="6"/>
        <v>43.2</v>
      </c>
      <c r="I93" s="38">
        <f t="shared" si="7"/>
        <v>43.2</v>
      </c>
    </row>
    <row r="94" spans="2:9">
      <c r="B94" t="s">
        <v>458</v>
      </c>
      <c r="C94" s="191" t="s">
        <v>48</v>
      </c>
      <c r="D94" s="191">
        <v>2023</v>
      </c>
      <c r="E94" s="192" t="s">
        <v>505</v>
      </c>
      <c r="F94" s="191" t="s">
        <v>502</v>
      </c>
      <c r="G94" s="191" t="s">
        <v>503</v>
      </c>
      <c r="H94" s="364">
        <f t="shared" si="6"/>
        <v>43.2</v>
      </c>
      <c r="I94" s="38">
        <f t="shared" si="7"/>
        <v>43.2</v>
      </c>
    </row>
    <row r="95" spans="2:9">
      <c r="B95" t="s">
        <v>458</v>
      </c>
      <c r="C95" s="191" t="s">
        <v>48</v>
      </c>
      <c r="D95" s="191">
        <v>2024</v>
      </c>
      <c r="E95" s="192" t="s">
        <v>505</v>
      </c>
      <c r="F95" s="191" t="s">
        <v>502</v>
      </c>
      <c r="G95" s="191" t="s">
        <v>503</v>
      </c>
      <c r="H95" s="364">
        <f t="shared" si="6"/>
        <v>43.2</v>
      </c>
      <c r="I95" s="38">
        <f t="shared" si="7"/>
        <v>43.2</v>
      </c>
    </row>
    <row r="96" spans="2:9">
      <c r="B96" t="s">
        <v>458</v>
      </c>
      <c r="C96" s="191" t="s">
        <v>48</v>
      </c>
      <c r="D96" s="191">
        <v>2025</v>
      </c>
      <c r="E96" s="192" t="s">
        <v>505</v>
      </c>
      <c r="F96" s="191" t="s">
        <v>502</v>
      </c>
      <c r="G96" s="191" t="s">
        <v>503</v>
      </c>
      <c r="H96" s="364">
        <f t="shared" si="6"/>
        <v>43.2</v>
      </c>
      <c r="I96" s="38">
        <f t="shared" si="7"/>
        <v>43.2</v>
      </c>
    </row>
    <row r="97" spans="2:12">
      <c r="B97" t="s">
        <v>458</v>
      </c>
      <c r="C97" s="191" t="s">
        <v>48</v>
      </c>
      <c r="D97" s="191">
        <v>2026</v>
      </c>
      <c r="E97" s="192" t="s">
        <v>505</v>
      </c>
      <c r="F97" s="191" t="s">
        <v>502</v>
      </c>
      <c r="G97" s="191" t="s">
        <v>503</v>
      </c>
      <c r="H97" s="364">
        <f t="shared" si="6"/>
        <v>43.2</v>
      </c>
      <c r="I97" s="38">
        <f t="shared" si="7"/>
        <v>43.2</v>
      </c>
    </row>
    <row r="98" spans="2:12">
      <c r="B98" t="s">
        <v>458</v>
      </c>
      <c r="C98" s="191" t="s">
        <v>48</v>
      </c>
      <c r="D98" s="191">
        <v>2027</v>
      </c>
      <c r="E98" s="192" t="s">
        <v>505</v>
      </c>
      <c r="F98" s="191" t="s">
        <v>502</v>
      </c>
      <c r="G98" s="191" t="s">
        <v>503</v>
      </c>
      <c r="H98" s="364">
        <f t="shared" si="6"/>
        <v>43.2</v>
      </c>
      <c r="I98" s="38">
        <f t="shared" si="7"/>
        <v>43.2</v>
      </c>
    </row>
    <row r="99" spans="2:12">
      <c r="B99" t="s">
        <v>458</v>
      </c>
      <c r="C99" s="191" t="s">
        <v>48</v>
      </c>
      <c r="D99" s="191">
        <v>2028</v>
      </c>
      <c r="E99" s="192" t="s">
        <v>505</v>
      </c>
      <c r="F99" s="191" t="s">
        <v>502</v>
      </c>
      <c r="G99" s="191" t="s">
        <v>503</v>
      </c>
      <c r="H99" s="364">
        <f t="shared" si="6"/>
        <v>43.2</v>
      </c>
      <c r="I99" s="38">
        <f t="shared" si="7"/>
        <v>43.2</v>
      </c>
    </row>
    <row r="100" spans="2:12">
      <c r="B100" t="s">
        <v>458</v>
      </c>
      <c r="C100" s="191" t="s">
        <v>48</v>
      </c>
      <c r="D100" s="191">
        <v>2029</v>
      </c>
      <c r="E100" s="192" t="s">
        <v>505</v>
      </c>
      <c r="F100" s="191" t="s">
        <v>502</v>
      </c>
      <c r="G100" s="191" t="s">
        <v>503</v>
      </c>
      <c r="H100" s="364">
        <f t="shared" si="6"/>
        <v>43.2</v>
      </c>
      <c r="I100" s="38">
        <f t="shared" si="7"/>
        <v>43.2</v>
      </c>
    </row>
    <row r="101" spans="2:12">
      <c r="B101" t="s">
        <v>458</v>
      </c>
      <c r="C101" s="191" t="s">
        <v>48</v>
      </c>
      <c r="D101" s="191">
        <v>2030</v>
      </c>
      <c r="E101" s="192" t="s">
        <v>505</v>
      </c>
      <c r="F101" s="191" t="s">
        <v>502</v>
      </c>
      <c r="G101" s="191" t="s">
        <v>503</v>
      </c>
      <c r="H101" s="364">
        <f t="shared" si="6"/>
        <v>43.2</v>
      </c>
      <c r="I101" s="38">
        <f t="shared" si="7"/>
        <v>43.2</v>
      </c>
    </row>
    <row r="102" spans="2:12">
      <c r="B102" t="s">
        <v>458</v>
      </c>
      <c r="C102" s="191" t="s">
        <v>48</v>
      </c>
      <c r="D102" s="191">
        <v>2031</v>
      </c>
      <c r="E102" s="192" t="s">
        <v>505</v>
      </c>
      <c r="F102" s="191" t="s">
        <v>502</v>
      </c>
      <c r="G102" s="191" t="s">
        <v>503</v>
      </c>
      <c r="H102" s="364">
        <f t="shared" si="6"/>
        <v>43.2</v>
      </c>
      <c r="I102" s="38">
        <f t="shared" si="7"/>
        <v>43.2</v>
      </c>
    </row>
    <row r="103" spans="2:12">
      <c r="B103" t="s">
        <v>458</v>
      </c>
      <c r="C103" s="191" t="s">
        <v>48</v>
      </c>
      <c r="D103" s="191">
        <v>2040</v>
      </c>
      <c r="E103" s="192" t="s">
        <v>505</v>
      </c>
      <c r="F103" s="191" t="s">
        <v>502</v>
      </c>
      <c r="G103" s="191" t="s">
        <v>503</v>
      </c>
      <c r="H103" s="364">
        <f t="shared" si="6"/>
        <v>43.2</v>
      </c>
      <c r="I103" s="38">
        <f t="shared" si="7"/>
        <v>43.2</v>
      </c>
    </row>
    <row r="104" spans="2:12">
      <c r="B104" t="s">
        <v>458</v>
      </c>
      <c r="C104" s="191" t="s">
        <v>48</v>
      </c>
      <c r="D104" s="191">
        <v>2041</v>
      </c>
      <c r="E104" s="192" t="s">
        <v>505</v>
      </c>
      <c r="F104" s="191" t="s">
        <v>502</v>
      </c>
      <c r="G104" s="191" t="s">
        <v>503</v>
      </c>
      <c r="H104" s="364">
        <f t="shared" si="6"/>
        <v>0</v>
      </c>
      <c r="I104" s="38">
        <v>0</v>
      </c>
    </row>
    <row r="105" spans="2:12">
      <c r="C105" s="191"/>
      <c r="D105" s="191"/>
      <c r="E105" s="192"/>
      <c r="F105" s="191"/>
      <c r="G105" s="191"/>
      <c r="H105" s="364"/>
      <c r="I105" s="38"/>
    </row>
    <row r="106" spans="2:12">
      <c r="C106" s="191"/>
      <c r="D106" s="191"/>
      <c r="E106" s="192"/>
      <c r="F106" s="191"/>
      <c r="G106" s="191"/>
      <c r="H106" s="364"/>
      <c r="I106" s="38"/>
    </row>
    <row r="107" spans="2:12">
      <c r="C107" s="191"/>
      <c r="D107" s="191"/>
      <c r="E107" s="192"/>
      <c r="F107" s="191"/>
      <c r="G107" s="191"/>
      <c r="H107" s="364"/>
      <c r="I107" s="38"/>
    </row>
    <row r="108" spans="2:12">
      <c r="C108" s="191"/>
      <c r="D108" s="191"/>
      <c r="E108" s="192"/>
      <c r="F108" s="191"/>
      <c r="G108" s="191"/>
      <c r="H108" s="364"/>
      <c r="I108" s="38"/>
      <c r="L108" t="s">
        <v>498</v>
      </c>
    </row>
    <row r="109" spans="2:12">
      <c r="C109" s="191"/>
      <c r="D109" s="191"/>
      <c r="E109" s="192"/>
      <c r="F109" s="191"/>
      <c r="G109" s="191"/>
      <c r="H109" s="364"/>
      <c r="I109" s="38"/>
    </row>
    <row r="110" spans="2:12">
      <c r="C110" s="191"/>
      <c r="D110" s="191"/>
      <c r="E110" s="192"/>
      <c r="F110" s="191"/>
      <c r="G110" s="191"/>
      <c r="H110" s="364"/>
      <c r="I110" s="38"/>
    </row>
    <row r="111" spans="2:12">
      <c r="C111" s="191"/>
      <c r="D111" s="191"/>
      <c r="E111" s="192"/>
      <c r="F111" s="191"/>
      <c r="G111" s="191"/>
      <c r="H111" s="364"/>
      <c r="I111" s="38"/>
    </row>
    <row r="112" spans="2:12">
      <c r="C112" s="191"/>
      <c r="D112" s="191"/>
      <c r="E112" s="192"/>
      <c r="F112" s="191"/>
      <c r="G112" s="191"/>
      <c r="H112" s="364"/>
      <c r="I112" s="38"/>
    </row>
    <row r="113" spans="3:12">
      <c r="C113" s="191"/>
      <c r="D113" s="191"/>
      <c r="E113" s="192"/>
      <c r="F113" s="191"/>
      <c r="G113" s="191"/>
      <c r="H113" s="364"/>
      <c r="I113" s="38"/>
    </row>
    <row r="114" spans="3:12">
      <c r="C114" s="191"/>
      <c r="D114" s="191"/>
      <c r="E114" s="192"/>
      <c r="F114" s="191"/>
      <c r="G114" s="191"/>
      <c r="H114" s="364"/>
      <c r="I114" s="38"/>
      <c r="L114" t="s">
        <v>497</v>
      </c>
    </row>
    <row r="115" spans="3:12">
      <c r="C115" s="191"/>
      <c r="D115" s="191"/>
      <c r="E115" s="192"/>
      <c r="F115" s="191"/>
      <c r="G115" s="191"/>
      <c r="H115" s="364"/>
      <c r="I115" s="38"/>
      <c r="L115" t="s">
        <v>497</v>
      </c>
    </row>
    <row r="116" spans="3:12">
      <c r="C116" s="191"/>
      <c r="D116" s="191"/>
      <c r="E116" s="192"/>
      <c r="F116" s="191"/>
      <c r="G116" s="191"/>
      <c r="H116" s="364"/>
      <c r="I116" s="38"/>
      <c r="L116" t="s">
        <v>497</v>
      </c>
    </row>
    <row r="117" spans="3:12">
      <c r="C117" s="191"/>
      <c r="D117" s="191"/>
      <c r="E117" s="192"/>
      <c r="F117" s="191"/>
      <c r="G117" s="191"/>
      <c r="H117" s="364"/>
      <c r="I117" s="38"/>
      <c r="L117" t="s">
        <v>499</v>
      </c>
    </row>
    <row r="118" spans="3:12">
      <c r="C118" s="191"/>
      <c r="D118" s="191"/>
      <c r="E118" s="192"/>
      <c r="F118" s="191"/>
      <c r="G118" s="191"/>
      <c r="H118" s="364"/>
      <c r="I118" s="38"/>
    </row>
    <row r="119" spans="3:12">
      <c r="C119" s="191"/>
      <c r="D119" s="191"/>
      <c r="E119" s="192"/>
      <c r="F119" s="191"/>
      <c r="G119" s="191"/>
      <c r="H119" s="364"/>
      <c r="I119" s="38"/>
    </row>
    <row r="120" spans="3:12">
      <c r="C120" s="191"/>
      <c r="D120" s="191"/>
      <c r="E120" s="192"/>
      <c r="F120" s="191"/>
      <c r="G120" s="191"/>
      <c r="H120" s="364"/>
      <c r="I120" s="38"/>
    </row>
    <row r="121" spans="3:12">
      <c r="C121" s="191"/>
      <c r="D121" s="191"/>
      <c r="E121" s="192"/>
      <c r="F121" s="191"/>
      <c r="G121" s="191"/>
      <c r="H121" s="364"/>
      <c r="I121" s="38"/>
    </row>
    <row r="122" spans="3:12">
      <c r="C122" s="191"/>
      <c r="D122" s="191"/>
      <c r="E122" s="192"/>
      <c r="F122" s="191"/>
      <c r="G122" s="191"/>
      <c r="H122" s="364"/>
      <c r="I122" s="38"/>
    </row>
    <row r="123" spans="3:12">
      <c r="C123" s="191"/>
      <c r="D123" s="191"/>
      <c r="E123" s="192"/>
      <c r="F123" s="191"/>
      <c r="G123" s="191"/>
      <c r="H123" s="364"/>
      <c r="I123" s="38"/>
    </row>
    <row r="124" spans="3:12">
      <c r="C124" s="191"/>
      <c r="D124" s="191"/>
      <c r="E124" s="192"/>
      <c r="F124" s="191"/>
      <c r="G124" s="191"/>
      <c r="H124" s="364"/>
      <c r="I124" s="38"/>
    </row>
    <row r="125" spans="3:12">
      <c r="C125" s="191"/>
      <c r="D125" s="191"/>
      <c r="E125" s="192"/>
      <c r="F125" s="191"/>
      <c r="G125" s="191"/>
      <c r="H125" s="364"/>
      <c r="I125" s="38"/>
    </row>
    <row r="126" spans="3:12">
      <c r="C126" s="191"/>
      <c r="D126" s="191"/>
      <c r="E126" s="192"/>
      <c r="F126" s="191"/>
      <c r="G126" s="191"/>
      <c r="H126" s="364"/>
      <c r="I126" s="38"/>
    </row>
    <row r="127" spans="3:12">
      <c r="C127" s="191"/>
      <c r="D127" s="191"/>
      <c r="E127" s="192"/>
      <c r="F127" s="191"/>
      <c r="G127" s="191"/>
      <c r="H127" s="364"/>
      <c r="I127" s="38"/>
    </row>
    <row r="128" spans="3:12">
      <c r="C128" s="359"/>
      <c r="D128" s="359"/>
      <c r="E128" s="192"/>
      <c r="F128" s="359"/>
      <c r="G128" s="191"/>
      <c r="H128" s="364"/>
      <c r="I128" s="362"/>
    </row>
    <row r="129" spans="2:23">
      <c r="C129" s="191"/>
      <c r="D129" s="191"/>
      <c r="E129" s="192"/>
      <c r="F129" s="193"/>
      <c r="G129" s="193"/>
      <c r="H129" s="194"/>
      <c r="I129" s="38"/>
    </row>
    <row r="130" spans="2:23">
      <c r="C130" s="191"/>
      <c r="D130" s="191"/>
      <c r="E130" s="192"/>
      <c r="F130" s="193"/>
      <c r="G130" s="193"/>
      <c r="H130" s="194"/>
      <c r="I130" s="38"/>
    </row>
    <row r="131" spans="2:23">
      <c r="C131" s="49"/>
      <c r="D131" s="49"/>
      <c r="E131" s="49"/>
      <c r="F131" s="10"/>
      <c r="G131" s="10"/>
      <c r="H131" s="10"/>
      <c r="I131" s="195"/>
    </row>
    <row r="132" spans="2:23">
      <c r="C132" s="49"/>
      <c r="D132" s="49"/>
      <c r="E132" s="49"/>
      <c r="F132" s="10"/>
      <c r="G132" s="10"/>
      <c r="H132" s="10"/>
      <c r="I132" s="195"/>
    </row>
    <row r="133" spans="2:23">
      <c r="C133" s="49"/>
      <c r="D133" s="49"/>
      <c r="E133" s="49"/>
      <c r="F133" s="10"/>
      <c r="G133" s="10"/>
      <c r="H133" s="10"/>
      <c r="I133" s="195"/>
    </row>
    <row r="134" spans="2:23">
      <c r="C134" s="49"/>
      <c r="D134" s="49"/>
      <c r="E134" s="49"/>
      <c r="F134" s="10"/>
      <c r="G134" s="10"/>
      <c r="H134" s="10"/>
      <c r="I134" s="195"/>
    </row>
    <row r="135" spans="2:23">
      <c r="C135" s="49"/>
      <c r="D135" s="49"/>
      <c r="E135" s="49"/>
      <c r="F135" s="10"/>
      <c r="G135" s="10"/>
      <c r="H135" s="10"/>
      <c r="I135" s="195"/>
    </row>
    <row r="136" spans="2:23">
      <c r="C136" s="49"/>
      <c r="D136" s="49"/>
      <c r="E136" s="49"/>
      <c r="F136" s="10"/>
      <c r="G136" s="10"/>
      <c r="H136" s="10"/>
      <c r="I136" s="195"/>
    </row>
    <row r="138" spans="2:23" ht="23.4">
      <c r="B138" s="196" t="s">
        <v>66</v>
      </c>
    </row>
    <row r="140" spans="2:23" ht="14.4">
      <c r="B140" s="197" t="s">
        <v>341</v>
      </c>
      <c r="C140" s="198"/>
      <c r="D140" s="198"/>
      <c r="E140" s="198"/>
      <c r="F140" s="198"/>
      <c r="G140" s="198"/>
      <c r="H140" s="199"/>
      <c r="I140" s="199"/>
      <c r="J140" s="199"/>
      <c r="K140" s="199"/>
      <c r="L140" s="199"/>
      <c r="M140" s="199"/>
    </row>
    <row r="141" spans="2:23" ht="14.4" thickBot="1">
      <c r="B141" s="198"/>
      <c r="C141" s="198"/>
      <c r="D141" s="198"/>
      <c r="E141" s="198"/>
      <c r="F141" s="198"/>
      <c r="G141" s="198"/>
      <c r="H141" s="199"/>
      <c r="I141" s="199"/>
      <c r="J141" s="199"/>
      <c r="K141" s="199"/>
      <c r="L141" s="199"/>
      <c r="M141" s="199"/>
    </row>
    <row r="142" spans="2:23" ht="15" thickBot="1">
      <c r="B142" s="200" t="s">
        <v>342</v>
      </c>
      <c r="C142" s="201" t="s">
        <v>343</v>
      </c>
      <c r="D142" s="201" t="s">
        <v>344</v>
      </c>
      <c r="E142" s="201" t="s">
        <v>345</v>
      </c>
      <c r="F142" s="201" t="s">
        <v>346</v>
      </c>
      <c r="G142" s="198"/>
      <c r="H142" s="199"/>
      <c r="I142" s="199"/>
      <c r="J142" s="199"/>
      <c r="K142" s="199"/>
      <c r="L142" s="199"/>
      <c r="M142" s="199"/>
    </row>
    <row r="143" spans="2:23" ht="28.8">
      <c r="B143" s="368" t="s">
        <v>347</v>
      </c>
      <c r="C143" s="202" t="s">
        <v>348</v>
      </c>
      <c r="D143" s="202" t="s">
        <v>349</v>
      </c>
      <c r="E143" s="202" t="s">
        <v>349</v>
      </c>
      <c r="F143" s="202" t="s">
        <v>350</v>
      </c>
      <c r="G143" s="198"/>
      <c r="H143" s="199"/>
      <c r="I143" s="199"/>
      <c r="J143" s="199"/>
      <c r="K143" s="199"/>
      <c r="L143" s="199"/>
      <c r="M143" s="199"/>
    </row>
    <row r="144" spans="2:23" ht="43.2">
      <c r="B144" s="369"/>
      <c r="C144" s="202" t="s">
        <v>351</v>
      </c>
      <c r="D144" s="202" t="s">
        <v>351</v>
      </c>
      <c r="E144" s="202" t="s">
        <v>351</v>
      </c>
      <c r="F144" s="202" t="s">
        <v>352</v>
      </c>
      <c r="G144" s="198"/>
      <c r="H144" s="199"/>
      <c r="I144" s="199"/>
      <c r="J144" s="199"/>
      <c r="K144" s="199"/>
      <c r="L144" s="199"/>
      <c r="M144" s="199"/>
      <c r="W144" s="199"/>
    </row>
    <row r="145" spans="2:23" ht="29.4" thickBot="1">
      <c r="B145" s="370"/>
      <c r="C145" s="203">
        <v>79.3</v>
      </c>
      <c r="D145" s="204">
        <v>26</v>
      </c>
      <c r="E145" s="204">
        <v>10</v>
      </c>
      <c r="F145" s="203" t="s">
        <v>353</v>
      </c>
      <c r="G145" s="198"/>
      <c r="H145" s="199"/>
      <c r="I145" s="199"/>
      <c r="J145" s="199"/>
      <c r="K145" s="199"/>
      <c r="L145" s="199"/>
      <c r="M145" s="199"/>
      <c r="W145" s="199"/>
    </row>
    <row r="146" spans="2:23" ht="28.8">
      <c r="B146" s="368" t="s">
        <v>354</v>
      </c>
      <c r="C146" s="202" t="s">
        <v>349</v>
      </c>
      <c r="D146" s="202" t="s">
        <v>349</v>
      </c>
      <c r="E146" s="202" t="s">
        <v>349</v>
      </c>
      <c r="F146" s="202" t="s">
        <v>350</v>
      </c>
      <c r="G146" s="198"/>
      <c r="H146" s="199"/>
      <c r="I146" s="199"/>
      <c r="J146" s="199"/>
      <c r="K146" s="199"/>
      <c r="L146" s="199"/>
      <c r="M146" s="199"/>
      <c r="W146" s="199"/>
    </row>
    <row r="147" spans="2:23" ht="43.2">
      <c r="B147" s="369"/>
      <c r="C147" s="202" t="s">
        <v>351</v>
      </c>
      <c r="D147" s="202" t="s">
        <v>351</v>
      </c>
      <c r="E147" s="202" t="s">
        <v>351</v>
      </c>
      <c r="F147" s="202" t="s">
        <v>352</v>
      </c>
      <c r="G147" s="198"/>
      <c r="H147" s="199"/>
      <c r="I147" s="199"/>
      <c r="J147" s="199"/>
      <c r="K147" s="199"/>
      <c r="L147" s="199"/>
      <c r="M147" s="199"/>
    </row>
    <row r="148" spans="2:23" ht="29.4" thickBot="1">
      <c r="B148" s="370"/>
      <c r="C148" s="203">
        <v>43.1</v>
      </c>
      <c r="D148" s="204">
        <v>26</v>
      </c>
      <c r="E148" s="204">
        <v>10</v>
      </c>
      <c r="F148" s="203" t="s">
        <v>353</v>
      </c>
      <c r="G148" s="198"/>
      <c r="H148" s="199"/>
      <c r="I148" s="199"/>
      <c r="J148" s="199"/>
      <c r="K148" s="199"/>
      <c r="L148" s="199"/>
      <c r="M148" s="199"/>
    </row>
    <row r="149" spans="2:23" ht="13.8">
      <c r="B149" s="198"/>
      <c r="C149" s="198"/>
      <c r="D149" s="198"/>
      <c r="E149" s="198"/>
      <c r="F149" s="198"/>
      <c r="G149" s="198"/>
      <c r="H149" s="199"/>
      <c r="I149" s="199"/>
      <c r="J149" s="199"/>
      <c r="K149" s="199"/>
      <c r="L149" s="199"/>
      <c r="M149" s="199"/>
    </row>
    <row r="150" spans="2:23" ht="13.8">
      <c r="B150" s="198"/>
      <c r="C150" s="198"/>
      <c r="D150" s="198"/>
      <c r="E150" s="198"/>
      <c r="F150" s="198"/>
      <c r="G150" s="198"/>
      <c r="H150" s="199"/>
      <c r="I150" s="199"/>
      <c r="J150" s="199"/>
      <c r="K150" s="199"/>
      <c r="L150" s="199"/>
      <c r="M150" s="199"/>
    </row>
    <row r="151" spans="2:23" ht="13.8">
      <c r="B151" s="198"/>
      <c r="C151" s="198"/>
      <c r="D151" s="198"/>
      <c r="E151" s="198"/>
      <c r="F151" s="198"/>
      <c r="G151" s="198"/>
      <c r="H151" s="199"/>
      <c r="I151" s="199"/>
      <c r="J151" s="199"/>
      <c r="K151" s="199"/>
      <c r="L151" s="199"/>
      <c r="M151" s="199"/>
    </row>
    <row r="152" spans="2:23" ht="13.8">
      <c r="B152" s="205"/>
      <c r="C152" s="206"/>
      <c r="D152" s="206"/>
      <c r="E152" s="206"/>
      <c r="F152" s="206"/>
      <c r="G152" s="206"/>
      <c r="H152" s="199"/>
      <c r="I152" s="199"/>
      <c r="J152" s="199"/>
      <c r="K152" s="199"/>
      <c r="L152" s="199"/>
      <c r="M152" s="199"/>
    </row>
    <row r="153" spans="2:23" ht="14.4">
      <c r="B153" s="207" t="s">
        <v>355</v>
      </c>
      <c r="C153" s="206"/>
      <c r="D153" s="206"/>
      <c r="E153" s="206"/>
      <c r="F153" s="206"/>
      <c r="G153" s="206"/>
      <c r="H153" s="199"/>
      <c r="I153" s="199"/>
      <c r="J153" s="199"/>
      <c r="K153" s="199"/>
      <c r="L153" s="199"/>
      <c r="M153" s="199"/>
    </row>
    <row r="154" spans="2:23" ht="14.4" thickBot="1">
      <c r="B154" s="206"/>
      <c r="C154" s="206"/>
      <c r="D154" s="206"/>
      <c r="E154" s="206"/>
      <c r="F154" s="206"/>
      <c r="G154" s="206"/>
      <c r="H154" s="199"/>
      <c r="I154" s="199"/>
      <c r="J154" s="199"/>
      <c r="K154" s="199"/>
      <c r="L154" s="199"/>
      <c r="M154" s="199"/>
    </row>
    <row r="155" spans="2:23" ht="15" thickBot="1">
      <c r="B155" s="208" t="s">
        <v>342</v>
      </c>
      <c r="C155" s="209" t="s">
        <v>343</v>
      </c>
      <c r="D155" s="209" t="s">
        <v>356</v>
      </c>
      <c r="E155" s="209" t="s">
        <v>357</v>
      </c>
      <c r="F155" s="209" t="s">
        <v>346</v>
      </c>
      <c r="G155" s="206"/>
      <c r="H155" s="199"/>
      <c r="I155" s="199"/>
      <c r="J155" s="199"/>
      <c r="K155" s="199"/>
      <c r="L155" s="199"/>
      <c r="M155" s="199"/>
    </row>
    <row r="156" spans="2:23" ht="28.8">
      <c r="B156" s="371" t="s">
        <v>358</v>
      </c>
      <c r="C156" s="210" t="s">
        <v>349</v>
      </c>
      <c r="D156" s="210" t="s">
        <v>349</v>
      </c>
      <c r="E156" s="210" t="s">
        <v>349</v>
      </c>
      <c r="F156" s="210" t="s">
        <v>350</v>
      </c>
      <c r="G156" s="206"/>
      <c r="H156" s="199"/>
      <c r="I156" s="199"/>
      <c r="J156" s="199"/>
      <c r="K156" s="199"/>
      <c r="L156" s="199"/>
      <c r="M156" s="199"/>
    </row>
    <row r="157" spans="2:23" ht="57.6">
      <c r="B157" s="372"/>
      <c r="C157" s="210" t="s">
        <v>359</v>
      </c>
      <c r="D157" s="210" t="s">
        <v>359</v>
      </c>
      <c r="E157" s="210" t="s">
        <v>359</v>
      </c>
      <c r="F157" s="210" t="s">
        <v>360</v>
      </c>
      <c r="G157" s="206"/>
      <c r="H157" s="199"/>
      <c r="I157" s="199"/>
      <c r="J157" s="199"/>
      <c r="K157" s="199"/>
      <c r="L157" s="199"/>
      <c r="M157" s="199"/>
    </row>
    <row r="158" spans="2:23" ht="29.4" thickBot="1">
      <c r="B158" s="373"/>
      <c r="C158" s="211">
        <v>39</v>
      </c>
      <c r="D158" s="212">
        <v>26</v>
      </c>
      <c r="E158" s="212">
        <v>10</v>
      </c>
      <c r="F158" s="211" t="s">
        <v>353</v>
      </c>
      <c r="G158" s="206"/>
      <c r="H158" s="199"/>
      <c r="I158" s="199"/>
      <c r="J158" s="199"/>
      <c r="K158" s="199"/>
      <c r="L158" s="199"/>
      <c r="M158" s="199"/>
    </row>
    <row r="159" spans="2:23" ht="28.8">
      <c r="B159" s="368" t="s">
        <v>361</v>
      </c>
      <c r="C159" s="202" t="s">
        <v>349</v>
      </c>
      <c r="D159" s="202" t="s">
        <v>349</v>
      </c>
      <c r="E159" s="202" t="s">
        <v>349</v>
      </c>
      <c r="F159" s="202" t="s">
        <v>350</v>
      </c>
      <c r="G159" s="198"/>
      <c r="H159" s="199"/>
      <c r="I159" s="199"/>
      <c r="J159" s="199"/>
      <c r="K159" s="199"/>
      <c r="L159" s="199"/>
      <c r="M159" s="199"/>
    </row>
    <row r="160" spans="2:23" ht="57.6">
      <c r="B160" s="369"/>
      <c r="C160" s="202" t="s">
        <v>359</v>
      </c>
      <c r="D160" s="202" t="s">
        <v>359</v>
      </c>
      <c r="E160" s="202" t="s">
        <v>359</v>
      </c>
      <c r="F160" s="202" t="s">
        <v>360</v>
      </c>
      <c r="G160" s="198"/>
      <c r="H160" s="199"/>
      <c r="I160" s="199"/>
      <c r="J160" s="199"/>
      <c r="K160" s="199"/>
      <c r="L160" s="199"/>
      <c r="M160" s="199"/>
    </row>
    <row r="161" spans="2:29" ht="29.4" thickBot="1">
      <c r="B161" s="370"/>
      <c r="C161" s="203">
        <v>39</v>
      </c>
      <c r="D161" s="204">
        <v>26</v>
      </c>
      <c r="E161" s="204">
        <v>10</v>
      </c>
      <c r="F161" s="203" t="s">
        <v>353</v>
      </c>
      <c r="G161" s="198"/>
      <c r="H161" s="199"/>
      <c r="I161" s="199"/>
      <c r="J161" s="199"/>
      <c r="K161" s="199"/>
      <c r="L161" s="199"/>
      <c r="M161" s="199"/>
    </row>
    <row r="162" spans="2:29" ht="28.8">
      <c r="B162" s="368" t="s">
        <v>362</v>
      </c>
      <c r="C162" s="202" t="s">
        <v>349</v>
      </c>
      <c r="D162" s="202" t="s">
        <v>349</v>
      </c>
      <c r="E162" s="202" t="s">
        <v>349</v>
      </c>
      <c r="F162" s="202" t="s">
        <v>350</v>
      </c>
      <c r="G162" s="198"/>
      <c r="H162" s="199"/>
      <c r="I162" s="199"/>
      <c r="J162" s="199"/>
      <c r="K162" s="199"/>
      <c r="L162" s="199"/>
      <c r="M162" s="199"/>
    </row>
    <row r="163" spans="2:29" ht="57.6">
      <c r="B163" s="369"/>
      <c r="C163" s="202" t="s">
        <v>359</v>
      </c>
      <c r="D163" s="202" t="s">
        <v>359</v>
      </c>
      <c r="E163" s="202" t="s">
        <v>359</v>
      </c>
      <c r="F163" s="202" t="s">
        <v>360</v>
      </c>
      <c r="G163" s="198"/>
      <c r="H163" s="199"/>
      <c r="I163" s="199"/>
      <c r="J163" s="199"/>
      <c r="K163" s="199"/>
      <c r="L163" s="199"/>
      <c r="M163" s="199"/>
    </row>
    <row r="164" spans="2:29" ht="29.4" thickBot="1">
      <c r="B164" s="370"/>
      <c r="C164" s="203">
        <v>39</v>
      </c>
      <c r="D164" s="204">
        <v>26</v>
      </c>
      <c r="E164" s="204">
        <v>10</v>
      </c>
      <c r="F164" s="203" t="s">
        <v>353</v>
      </c>
      <c r="G164" s="198"/>
      <c r="H164" s="199"/>
      <c r="I164" s="199"/>
      <c r="J164" s="199"/>
      <c r="K164" s="199"/>
      <c r="L164" s="199"/>
      <c r="M164" s="199"/>
    </row>
    <row r="165" spans="2:29" ht="13.8">
      <c r="B165" s="206"/>
      <c r="C165" s="206"/>
      <c r="D165" s="206"/>
      <c r="E165" s="206"/>
      <c r="F165" s="206"/>
      <c r="G165" s="206"/>
      <c r="H165" s="199"/>
      <c r="J165" s="199"/>
      <c r="K165" s="199"/>
      <c r="L165" s="199"/>
      <c r="P165" s="213"/>
    </row>
    <row r="166" spans="2:29" ht="13.8">
      <c r="B166" s="206" t="s">
        <v>363</v>
      </c>
      <c r="C166" s="206"/>
      <c r="D166" s="206">
        <v>53.2</v>
      </c>
      <c r="E166" s="206" t="s">
        <v>364</v>
      </c>
      <c r="F166" s="206"/>
      <c r="G166" s="206"/>
      <c r="H166" s="199"/>
      <c r="I166" s="199"/>
      <c r="J166" s="199"/>
      <c r="K166" s="199"/>
      <c r="L166" s="199"/>
      <c r="M166" s="199"/>
    </row>
    <row r="167" spans="2:29" ht="13.8">
      <c r="B167" s="199"/>
      <c r="C167" s="199"/>
      <c r="D167" s="199"/>
      <c r="E167" s="199"/>
      <c r="F167" s="199"/>
      <c r="G167" s="199"/>
      <c r="H167" s="199"/>
      <c r="I167" s="199"/>
      <c r="J167" s="199"/>
      <c r="K167" s="199"/>
      <c r="L167" s="199"/>
      <c r="M167" s="199"/>
    </row>
    <row r="168" spans="2:29" ht="14.4">
      <c r="B168" s="214"/>
      <c r="C168" s="214"/>
      <c r="D168" s="214"/>
      <c r="E168" s="214"/>
      <c r="F168" s="214"/>
      <c r="G168" s="214"/>
      <c r="H168" s="214"/>
      <c r="I168" s="214"/>
      <c r="J168" s="214"/>
      <c r="K168" s="214"/>
      <c r="L168" s="214"/>
      <c r="M168" s="214"/>
      <c r="N168" s="215"/>
      <c r="O168" s="215"/>
      <c r="P168" s="215"/>
      <c r="Q168" s="215"/>
      <c r="R168" s="215"/>
      <c r="S168" s="215"/>
      <c r="T168" s="215"/>
      <c r="U168" s="215"/>
      <c r="V168" s="215"/>
      <c r="W168" s="215"/>
      <c r="X168" s="215"/>
    </row>
    <row r="169" spans="2:29" ht="14.4">
      <c r="B169" s="214"/>
      <c r="C169" s="215"/>
      <c r="D169" s="215"/>
      <c r="E169" s="215"/>
      <c r="F169" s="215"/>
      <c r="G169" s="215"/>
      <c r="H169" s="215"/>
      <c r="I169" s="215"/>
      <c r="J169" s="215"/>
      <c r="K169" s="215"/>
      <c r="L169" s="214"/>
      <c r="M169" s="214"/>
      <c r="N169" s="215"/>
      <c r="O169" s="215"/>
      <c r="P169" s="215"/>
      <c r="Q169" s="215"/>
      <c r="R169" s="215"/>
      <c r="S169" s="215"/>
      <c r="T169" s="215"/>
      <c r="U169" s="215"/>
      <c r="V169" s="215"/>
      <c r="W169" s="215"/>
      <c r="X169" s="215"/>
    </row>
    <row r="170" spans="2:29" ht="14.4">
      <c r="B170" s="216" t="s">
        <v>1</v>
      </c>
      <c r="C170" s="217" t="s">
        <v>365</v>
      </c>
      <c r="D170" s="218" t="s">
        <v>366</v>
      </c>
      <c r="E170" s="366" t="s">
        <v>367</v>
      </c>
      <c r="F170" s="374" t="s">
        <v>368</v>
      </c>
      <c r="G170" s="376" t="s">
        <v>369</v>
      </c>
      <c r="H170" s="378" t="s">
        <v>370</v>
      </c>
      <c r="I170" s="366" t="s">
        <v>371</v>
      </c>
      <c r="J170" s="374" t="s">
        <v>372</v>
      </c>
      <c r="K170" s="376" t="s">
        <v>373</v>
      </c>
      <c r="L170" s="378" t="s">
        <v>374</v>
      </c>
      <c r="M170" s="366" t="s">
        <v>375</v>
      </c>
      <c r="N170" s="374" t="s">
        <v>376</v>
      </c>
      <c r="O170" s="376" t="s">
        <v>377</v>
      </c>
      <c r="P170" s="378" t="s">
        <v>378</v>
      </c>
      <c r="Q170" s="366" t="s">
        <v>379</v>
      </c>
      <c r="R170" s="374" t="s">
        <v>380</v>
      </c>
      <c r="S170" s="376" t="s">
        <v>381</v>
      </c>
      <c r="T170" s="378" t="s">
        <v>382</v>
      </c>
      <c r="U170" s="382" t="s">
        <v>383</v>
      </c>
      <c r="V170" s="384" t="s">
        <v>384</v>
      </c>
      <c r="W170" s="386" t="s">
        <v>385</v>
      </c>
      <c r="X170" s="380" t="s">
        <v>386</v>
      </c>
    </row>
    <row r="171" spans="2:29" ht="15" thickBot="1">
      <c r="B171" s="219"/>
      <c r="C171" s="220"/>
      <c r="D171" s="221"/>
      <c r="E171" s="367"/>
      <c r="F171" s="375"/>
      <c r="G171" s="377"/>
      <c r="H171" s="379"/>
      <c r="I171" s="367"/>
      <c r="J171" s="375"/>
      <c r="K171" s="377"/>
      <c r="L171" s="379"/>
      <c r="M171" s="367"/>
      <c r="N171" s="375"/>
      <c r="O171" s="377"/>
      <c r="P171" s="379"/>
      <c r="Q171" s="367"/>
      <c r="R171" s="375"/>
      <c r="S171" s="377"/>
      <c r="T171" s="379"/>
      <c r="U171" s="383"/>
      <c r="V171" s="385"/>
      <c r="W171" s="387"/>
      <c r="X171" s="381"/>
    </row>
    <row r="172" spans="2:29" ht="15" thickBot="1">
      <c r="B172" s="222"/>
      <c r="C172" s="223" t="s">
        <v>387</v>
      </c>
      <c r="D172" s="224" t="s">
        <v>388</v>
      </c>
      <c r="E172" s="225" t="s">
        <v>389</v>
      </c>
      <c r="F172" s="226" t="s">
        <v>389</v>
      </c>
      <c r="G172" s="227" t="s">
        <v>389</v>
      </c>
      <c r="H172" s="228" t="s">
        <v>389</v>
      </c>
      <c r="I172" s="225" t="s">
        <v>389</v>
      </c>
      <c r="J172" s="226" t="s">
        <v>389</v>
      </c>
      <c r="K172" s="227" t="s">
        <v>389</v>
      </c>
      <c r="L172" s="228" t="s">
        <v>389</v>
      </c>
      <c r="M172" s="225" t="s">
        <v>390</v>
      </c>
      <c r="N172" s="226" t="s">
        <v>390</v>
      </c>
      <c r="O172" s="227" t="s">
        <v>390</v>
      </c>
      <c r="P172" s="228" t="s">
        <v>390</v>
      </c>
      <c r="Q172" s="225" t="s">
        <v>390</v>
      </c>
      <c r="R172" s="226" t="s">
        <v>390</v>
      </c>
      <c r="S172" s="227" t="s">
        <v>390</v>
      </c>
      <c r="T172" s="228" t="s">
        <v>390</v>
      </c>
      <c r="U172" s="229" t="s">
        <v>390</v>
      </c>
      <c r="V172" s="230" t="s">
        <v>390</v>
      </c>
      <c r="W172" s="231" t="s">
        <v>390</v>
      </c>
      <c r="X172" s="232" t="s">
        <v>390</v>
      </c>
      <c r="AB172" s="354"/>
      <c r="AC172" s="357" t="s">
        <v>496</v>
      </c>
    </row>
    <row r="173" spans="2:29" ht="15" thickBot="1">
      <c r="B173" s="233">
        <v>2010</v>
      </c>
      <c r="C173" s="234">
        <v>44.4</v>
      </c>
      <c r="D173" s="235">
        <v>0.90500000000000003</v>
      </c>
      <c r="E173" s="236">
        <v>55.99449723756905</v>
      </c>
      <c r="F173" s="237">
        <v>38.453038674033152</v>
      </c>
      <c r="G173" s="238">
        <v>11.049723756906078</v>
      </c>
      <c r="H173" s="239">
        <v>105.49725966850828</v>
      </c>
      <c r="I173" s="236">
        <v>46.738497237569099</v>
      </c>
      <c r="J173" s="237">
        <v>38.453038674033152</v>
      </c>
      <c r="K173" s="238">
        <v>10.342541436464089</v>
      </c>
      <c r="L173" s="239">
        <v>95.534077348066305</v>
      </c>
      <c r="M173" s="236">
        <v>-2.1076243093922642</v>
      </c>
      <c r="N173" s="237">
        <v>38.453038674033152</v>
      </c>
      <c r="O173" s="238">
        <v>11.049723756906078</v>
      </c>
      <c r="P173" s="239">
        <v>47.395138121546964</v>
      </c>
      <c r="Q173" s="236">
        <v>42.292375690607699</v>
      </c>
      <c r="R173" s="237">
        <v>38.453038674033152</v>
      </c>
      <c r="S173" s="238">
        <v>11.049723756906078</v>
      </c>
      <c r="T173" s="239">
        <v>91.795138121546955</v>
      </c>
      <c r="U173" s="246">
        <f t="shared" ref="U173:U195" si="8">$C$158*$AC$180/AC173</f>
        <v>43.088561357024474</v>
      </c>
      <c r="V173" s="240">
        <f>26+(53.2-C173)</f>
        <v>34.800000000000004</v>
      </c>
      <c r="W173" s="241">
        <v>11.049723756906078</v>
      </c>
      <c r="X173" s="242">
        <f>SUM(U173:W173)</f>
        <v>88.938285113930561</v>
      </c>
      <c r="AB173" s="355">
        <v>2010</v>
      </c>
      <c r="AC173" s="358">
        <v>1</v>
      </c>
    </row>
    <row r="174" spans="2:29" ht="15" thickBot="1">
      <c r="B174" s="233">
        <v>2011</v>
      </c>
      <c r="C174" s="234">
        <v>46.1</v>
      </c>
      <c r="D174" s="235">
        <v>0.91</v>
      </c>
      <c r="E174" s="243">
        <v>55.783428571428558</v>
      </c>
      <c r="F174" s="244">
        <v>36.373626373626372</v>
      </c>
      <c r="G174" s="245">
        <v>10.989010989010989</v>
      </c>
      <c r="H174" s="239">
        <v>103.14606593406593</v>
      </c>
      <c r="I174" s="243">
        <v>46.623780219780215</v>
      </c>
      <c r="J174" s="244">
        <v>36.373626373626372</v>
      </c>
      <c r="K174" s="245">
        <v>10.285714285714286</v>
      </c>
      <c r="L174" s="239">
        <v>93.283120879120887</v>
      </c>
      <c r="M174" s="243">
        <v>-3.9114285714285799</v>
      </c>
      <c r="N174" s="244">
        <v>36.373626373626372</v>
      </c>
      <c r="O174" s="245">
        <v>10.989010989010989</v>
      </c>
      <c r="P174" s="239">
        <v>43.451208791208785</v>
      </c>
      <c r="Q174" s="243">
        <v>42.188571428571422</v>
      </c>
      <c r="R174" s="244">
        <v>36.373626373626372</v>
      </c>
      <c r="S174" s="245">
        <v>10.989010989010989</v>
      </c>
      <c r="T174" s="239">
        <v>89.551208791208794</v>
      </c>
      <c r="U174" s="246">
        <f t="shared" si="8"/>
        <v>42.839920911622308</v>
      </c>
      <c r="V174" s="240">
        <f t="shared" ref="V174:V194" si="9">26+(53.2-C174)</f>
        <v>33.1</v>
      </c>
      <c r="W174" s="248">
        <v>10.989010989010989</v>
      </c>
      <c r="X174" s="242">
        <f t="shared" ref="X174:X195" si="10">SUM(U174:W174)</f>
        <v>86.928931900633302</v>
      </c>
      <c r="AB174" s="355">
        <v>2011</v>
      </c>
      <c r="AC174" s="358">
        <v>1.0058039426803589</v>
      </c>
    </row>
    <row r="175" spans="2:29" ht="15" thickBot="1">
      <c r="B175" s="233">
        <v>2012</v>
      </c>
      <c r="C175" s="234">
        <v>55.1</v>
      </c>
      <c r="D175" s="235">
        <v>0.93600000000000005</v>
      </c>
      <c r="E175" s="243">
        <v>54.722222222222214</v>
      </c>
      <c r="F175" s="244">
        <v>25.747863247863247</v>
      </c>
      <c r="G175" s="245">
        <v>10.683760683760683</v>
      </c>
      <c r="H175" s="239">
        <v>91.153846153846146</v>
      </c>
      <c r="I175" s="243">
        <v>46.047008547008545</v>
      </c>
      <c r="J175" s="244">
        <v>25.747863247863247</v>
      </c>
      <c r="K175" s="245">
        <v>10</v>
      </c>
      <c r="L175" s="239">
        <v>81.794871794871796</v>
      </c>
      <c r="M175" s="243">
        <v>-13.433333333333337</v>
      </c>
      <c r="N175" s="244">
        <v>25.747863247863247</v>
      </c>
      <c r="O175" s="245">
        <v>10.683760683760683</v>
      </c>
      <c r="P175" s="239">
        <v>22.998290598290595</v>
      </c>
      <c r="Q175" s="243">
        <v>41.666666666666664</v>
      </c>
      <c r="R175" s="244">
        <v>25.747863247863247</v>
      </c>
      <c r="S175" s="245">
        <v>10.683760683760683</v>
      </c>
      <c r="T175" s="239">
        <v>78.098290598290589</v>
      </c>
      <c r="U175" s="246">
        <f t="shared" si="8"/>
        <v>41.644939990433251</v>
      </c>
      <c r="V175" s="240">
        <f t="shared" si="9"/>
        <v>24.1</v>
      </c>
      <c r="W175" s="248">
        <v>10.683760683760683</v>
      </c>
      <c r="X175" s="242">
        <f t="shared" si="10"/>
        <v>76.428700674193934</v>
      </c>
      <c r="AB175" s="355">
        <v>2012</v>
      </c>
      <c r="AC175" s="358">
        <v>1.0346649885177612</v>
      </c>
    </row>
    <row r="176" spans="2:29" ht="15" thickBot="1">
      <c r="B176" s="233">
        <v>2013</v>
      </c>
      <c r="C176" s="234">
        <v>54.2</v>
      </c>
      <c r="D176" s="235">
        <v>0.95199999999999996</v>
      </c>
      <c r="E176" s="243">
        <v>54.097983193277301</v>
      </c>
      <c r="F176" s="244">
        <v>26.260504201680675</v>
      </c>
      <c r="G176" s="245">
        <v>10.504201680672269</v>
      </c>
      <c r="H176" s="239">
        <v>90.862689075630243</v>
      </c>
      <c r="I176" s="243">
        <v>45.707731092436966</v>
      </c>
      <c r="J176" s="244">
        <v>26.260504201680675</v>
      </c>
      <c r="K176" s="245">
        <v>9.8319327731092461</v>
      </c>
      <c r="L176" s="239">
        <v>81.800168067226892</v>
      </c>
      <c r="M176" s="243">
        <v>-12.840336134453786</v>
      </c>
      <c r="N176" s="244">
        <v>26.260504201680675</v>
      </c>
      <c r="O176" s="245">
        <v>10.504201680672269</v>
      </c>
      <c r="P176" s="239">
        <v>23.924369747899156</v>
      </c>
      <c r="Q176" s="243">
        <v>41.359663865546217</v>
      </c>
      <c r="R176" s="244">
        <v>26.260504201680675</v>
      </c>
      <c r="S176" s="245">
        <v>10.504201680672269</v>
      </c>
      <c r="T176" s="239">
        <v>78.124369747899166</v>
      </c>
      <c r="U176" s="246">
        <f t="shared" si="8"/>
        <v>40.953532325148061</v>
      </c>
      <c r="V176" s="240">
        <f t="shared" si="9"/>
        <v>25</v>
      </c>
      <c r="W176" s="248">
        <v>10.504201680672269</v>
      </c>
      <c r="X176" s="242">
        <f t="shared" si="10"/>
        <v>76.457734005820328</v>
      </c>
      <c r="AB176" s="355">
        <v>2013</v>
      </c>
      <c r="AC176" s="358">
        <v>1.0521329641342163</v>
      </c>
    </row>
    <row r="177" spans="2:29" ht="15" thickBot="1">
      <c r="B177" s="233">
        <v>2014</v>
      </c>
      <c r="C177" s="234">
        <v>45.7</v>
      </c>
      <c r="D177" s="235">
        <v>0.96099999999999997</v>
      </c>
      <c r="E177" s="243">
        <v>53.755983350676374</v>
      </c>
      <c r="F177" s="244">
        <v>34.859521331945892</v>
      </c>
      <c r="G177" s="245">
        <v>10.40582726326743</v>
      </c>
      <c r="H177" s="239">
        <v>99.021331945889685</v>
      </c>
      <c r="I177" s="243">
        <v>45.521852237252858</v>
      </c>
      <c r="J177" s="244">
        <v>34.859521331945892</v>
      </c>
      <c r="K177" s="245">
        <v>9.7398543184183151</v>
      </c>
      <c r="L177" s="239">
        <v>90.121227887617067</v>
      </c>
      <c r="M177" s="243">
        <v>-4.5085327783558853</v>
      </c>
      <c r="N177" s="244">
        <v>34.859521331945892</v>
      </c>
      <c r="O177" s="245">
        <v>10.40582726326743</v>
      </c>
      <c r="P177" s="239">
        <v>40.75681581685744</v>
      </c>
      <c r="Q177" s="243">
        <v>41.191467221644118</v>
      </c>
      <c r="R177" s="244">
        <v>34.859521331945892</v>
      </c>
      <c r="S177" s="245">
        <v>10.40582726326743</v>
      </c>
      <c r="T177" s="239">
        <v>86.456815816857429</v>
      </c>
      <c r="U177" s="246">
        <f t="shared" si="8"/>
        <v>40.581477365284144</v>
      </c>
      <c r="V177" s="240">
        <f t="shared" si="9"/>
        <v>33.5</v>
      </c>
      <c r="W177" s="248">
        <v>10.40582726326743</v>
      </c>
      <c r="X177" s="242">
        <f t="shared" si="10"/>
        <v>84.48730462855157</v>
      </c>
      <c r="AB177" s="355">
        <v>2014</v>
      </c>
      <c r="AC177" s="358">
        <v>1.0617790222167969</v>
      </c>
    </row>
    <row r="178" spans="2:29" ht="15" thickBot="1">
      <c r="B178" s="233">
        <v>2015</v>
      </c>
      <c r="C178" s="234">
        <v>44</v>
      </c>
      <c r="D178" s="235">
        <v>0.97599999999999998</v>
      </c>
      <c r="E178" s="243">
        <v>53.2</v>
      </c>
      <c r="F178" s="244">
        <v>36.06557377049181</v>
      </c>
      <c r="G178" s="245">
        <v>10.245901639344263</v>
      </c>
      <c r="H178" s="239">
        <v>99.511475409836081</v>
      </c>
      <c r="I178" s="243">
        <v>45.21967213114754</v>
      </c>
      <c r="J178" s="244">
        <v>36.06557377049181</v>
      </c>
      <c r="K178" s="245">
        <v>9.5901639344262311</v>
      </c>
      <c r="L178" s="239">
        <v>90.875409836065572</v>
      </c>
      <c r="M178" s="243">
        <v>-3.0819672131147513</v>
      </c>
      <c r="N178" s="244">
        <v>36.06557377049181</v>
      </c>
      <c r="O178" s="245">
        <v>10.245901639344263</v>
      </c>
      <c r="P178" s="239">
        <v>43.229508196721319</v>
      </c>
      <c r="Q178" s="243">
        <v>40.918032786885249</v>
      </c>
      <c r="R178" s="244">
        <v>36.06557377049181</v>
      </c>
      <c r="S178" s="245">
        <v>10.245901639344263</v>
      </c>
      <c r="T178" s="239">
        <v>87.229508196721326</v>
      </c>
      <c r="U178" s="246">
        <f t="shared" si="8"/>
        <v>39.969352905345076</v>
      </c>
      <c r="V178" s="240">
        <f t="shared" si="9"/>
        <v>35.200000000000003</v>
      </c>
      <c r="W178" s="248">
        <v>10.245901639344263</v>
      </c>
      <c r="X178" s="242">
        <f t="shared" si="10"/>
        <v>85.415254544689347</v>
      </c>
      <c r="AB178" s="355">
        <v>2015</v>
      </c>
      <c r="AC178" s="358">
        <v>1.0780400037765503</v>
      </c>
    </row>
    <row r="179" spans="2:29" ht="15" thickBot="1">
      <c r="B179" s="233">
        <v>2016</v>
      </c>
      <c r="C179" s="234">
        <v>36.799999999999997</v>
      </c>
      <c r="D179" s="235">
        <v>0.98199999999999998</v>
      </c>
      <c r="E179" s="243">
        <v>52.982362525458257</v>
      </c>
      <c r="F179" s="244">
        <v>43.177189409368644</v>
      </c>
      <c r="G179" s="245">
        <v>7.6252545824847253</v>
      </c>
      <c r="H179" s="239">
        <v>103.78480651731164</v>
      </c>
      <c r="I179" s="243">
        <v>45.101384928716904</v>
      </c>
      <c r="J179" s="244">
        <v>43.177189409368644</v>
      </c>
      <c r="K179" s="245">
        <v>7.6252545824847253</v>
      </c>
      <c r="L179" s="239">
        <v>95.903828920570277</v>
      </c>
      <c r="M179" s="243">
        <v>4.0109979633401238</v>
      </c>
      <c r="N179" s="244">
        <v>43.177189409368644</v>
      </c>
      <c r="O179" s="245">
        <v>7.6252545824847253</v>
      </c>
      <c r="P179" s="239">
        <v>54.813441955193497</v>
      </c>
      <c r="Q179" s="243">
        <v>40.810997963340121</v>
      </c>
      <c r="R179" s="244">
        <v>43.177189409368644</v>
      </c>
      <c r="S179" s="245">
        <v>7.6252545824847253</v>
      </c>
      <c r="T179" s="239">
        <v>91.613441955193494</v>
      </c>
      <c r="U179" s="246">
        <f t="shared" si="8"/>
        <v>39.704727994249566</v>
      </c>
      <c r="V179" s="240">
        <f t="shared" si="9"/>
        <v>42.400000000000006</v>
      </c>
      <c r="W179" s="248">
        <v>7.6252545824847253</v>
      </c>
      <c r="X179" s="242">
        <f t="shared" si="10"/>
        <v>89.729982576734301</v>
      </c>
      <c r="AB179" s="355">
        <v>2016</v>
      </c>
      <c r="AC179" s="358">
        <v>1.085224947599817</v>
      </c>
    </row>
    <row r="180" spans="2:29" ht="15" thickBot="1">
      <c r="B180" s="233">
        <v>2017</v>
      </c>
      <c r="C180" s="234">
        <v>36.518000000000001</v>
      </c>
      <c r="D180" s="235">
        <v>1</v>
      </c>
      <c r="E180" s="243">
        <v>52.345119999999994</v>
      </c>
      <c r="F180" s="244">
        <v>42.682000000000002</v>
      </c>
      <c r="G180" s="245">
        <v>5.6160000000000005</v>
      </c>
      <c r="H180" s="239">
        <v>100.64312</v>
      </c>
      <c r="I180" s="243">
        <v>44.755040000000001</v>
      </c>
      <c r="J180" s="244">
        <v>42.682000000000002</v>
      </c>
      <c r="K180" s="245">
        <v>5.6160000000000005</v>
      </c>
      <c r="L180" s="239">
        <v>93.053039999999996</v>
      </c>
      <c r="M180" s="243">
        <v>3.9795999999999978</v>
      </c>
      <c r="N180" s="244">
        <v>42.682000000000002</v>
      </c>
      <c r="O180" s="245">
        <v>5.6160000000000005</v>
      </c>
      <c r="P180" s="239">
        <v>52.2776</v>
      </c>
      <c r="Q180" s="243">
        <v>40.497599999999998</v>
      </c>
      <c r="R180" s="244">
        <v>42.682000000000002</v>
      </c>
      <c r="S180" s="245">
        <v>5.6160000000000005</v>
      </c>
      <c r="T180" s="239">
        <v>88.795599999999993</v>
      </c>
      <c r="U180" s="246">
        <f t="shared" si="8"/>
        <v>39</v>
      </c>
      <c r="V180" s="240">
        <f t="shared" si="9"/>
        <v>42.682000000000002</v>
      </c>
      <c r="W180" s="248">
        <v>5.6160000000000005</v>
      </c>
      <c r="X180" s="242">
        <f t="shared" si="10"/>
        <v>87.298000000000002</v>
      </c>
      <c r="AB180" s="355">
        <v>2017</v>
      </c>
      <c r="AC180" s="358">
        <v>1.1048349065903711</v>
      </c>
    </row>
    <row r="181" spans="2:29" ht="15" thickBot="1">
      <c r="B181" s="233">
        <v>2018</v>
      </c>
      <c r="C181" s="234">
        <v>36.518000000000001</v>
      </c>
      <c r="D181" s="235">
        <v>1.02</v>
      </c>
      <c r="E181" s="243">
        <v>51.663450980392156</v>
      </c>
      <c r="F181" s="244">
        <v>41.845098039215685</v>
      </c>
      <c r="G181" s="245">
        <v>3.6705882352941179</v>
      </c>
      <c r="H181" s="239">
        <v>97.17913725490196</v>
      </c>
      <c r="I181" s="243">
        <v>44.384549019607846</v>
      </c>
      <c r="J181" s="244">
        <v>41.845098039215685</v>
      </c>
      <c r="K181" s="245">
        <v>3.6705882352941179</v>
      </c>
      <c r="L181" s="239">
        <v>89.90023529411765</v>
      </c>
      <c r="M181" s="243">
        <v>3.6443529411764715</v>
      </c>
      <c r="N181" s="244">
        <v>41.845098039215685</v>
      </c>
      <c r="O181" s="245">
        <v>3.6705882352941179</v>
      </c>
      <c r="P181" s="239">
        <v>49.160039215686275</v>
      </c>
      <c r="Q181" s="243">
        <v>40.162352941176472</v>
      </c>
      <c r="R181" s="244">
        <v>41.845098039215685</v>
      </c>
      <c r="S181" s="245">
        <v>3.6705882352941179</v>
      </c>
      <c r="T181" s="239">
        <v>85.678039215686269</v>
      </c>
      <c r="U181" s="246">
        <f t="shared" si="8"/>
        <v>38.237532767984149</v>
      </c>
      <c r="V181" s="240">
        <f t="shared" si="9"/>
        <v>42.682000000000002</v>
      </c>
      <c r="W181" s="248">
        <v>3.6705882352941179</v>
      </c>
      <c r="X181" s="242">
        <f t="shared" si="10"/>
        <v>84.59012100327827</v>
      </c>
      <c r="AB181" s="355">
        <v>2018</v>
      </c>
      <c r="AC181" s="358">
        <v>1.1268656275098909</v>
      </c>
    </row>
    <row r="182" spans="2:29" ht="15" thickBot="1">
      <c r="B182" s="233">
        <v>2019</v>
      </c>
      <c r="C182" s="234">
        <v>34.261011240620462</v>
      </c>
      <c r="D182" s="235">
        <v>1.042</v>
      </c>
      <c r="E182" s="243">
        <v>50.943838771593093</v>
      </c>
      <c r="F182" s="244">
        <v>41.053838771593092</v>
      </c>
      <c r="G182" s="245">
        <v>1.7965451055662189</v>
      </c>
      <c r="H182" s="239">
        <v>93.79422264875241</v>
      </c>
      <c r="I182" s="243">
        <v>43.993435700575823</v>
      </c>
      <c r="J182" s="244">
        <v>41.053838771593092</v>
      </c>
      <c r="K182" s="245">
        <v>1.7965451055662189</v>
      </c>
      <c r="L182" s="239">
        <v>86.843819577735132</v>
      </c>
      <c r="M182" s="243">
        <v>3.3865452975047958</v>
      </c>
      <c r="N182" s="244">
        <v>41.053838771593092</v>
      </c>
      <c r="O182" s="245">
        <v>1.7965451055662189</v>
      </c>
      <c r="P182" s="239">
        <v>46.236929174664105</v>
      </c>
      <c r="Q182" s="243">
        <v>39.808445297504797</v>
      </c>
      <c r="R182" s="244">
        <v>41.053838771593092</v>
      </c>
      <c r="S182" s="245">
        <v>1.7965451055662189</v>
      </c>
      <c r="T182" s="239">
        <v>82.658829174664106</v>
      </c>
      <c r="U182" s="246">
        <f t="shared" si="8"/>
        <v>37.443928610698975</v>
      </c>
      <c r="V182" s="240">
        <f t="shared" si="9"/>
        <v>44.938988759379541</v>
      </c>
      <c r="W182" s="248">
        <v>1.7965451055662189</v>
      </c>
      <c r="X182" s="242">
        <f t="shared" si="10"/>
        <v>84.17946247564474</v>
      </c>
      <c r="AB182" s="355">
        <v>2019</v>
      </c>
      <c r="AC182" s="358">
        <v>1.1507489453099919</v>
      </c>
    </row>
    <row r="183" spans="2:29" ht="15" thickBot="1">
      <c r="B183" s="233">
        <v>2020</v>
      </c>
      <c r="C183" s="234">
        <v>33.397849986482257</v>
      </c>
      <c r="D183" s="235">
        <v>1.0649999999999999</v>
      </c>
      <c r="E183" s="243">
        <v>50.223305164319243</v>
      </c>
      <c r="F183" s="244">
        <v>40.257464788732406</v>
      </c>
      <c r="G183" s="245">
        <v>0</v>
      </c>
      <c r="H183" s="239">
        <v>90.480769953051649</v>
      </c>
      <c r="I183" s="243">
        <v>43.601821596244129</v>
      </c>
      <c r="J183" s="244">
        <v>40.257464788732406</v>
      </c>
      <c r="K183" s="245">
        <v>0</v>
      </c>
      <c r="L183" s="239">
        <v>83.859286384976542</v>
      </c>
      <c r="M183" s="243">
        <v>3.1282845070422596</v>
      </c>
      <c r="N183" s="244">
        <v>40.257464788732406</v>
      </c>
      <c r="O183" s="245">
        <v>0</v>
      </c>
      <c r="P183" s="239">
        <v>43.385749295774666</v>
      </c>
      <c r="Q183" s="243">
        <v>39.454084507042253</v>
      </c>
      <c r="R183" s="244">
        <v>40.257464788732406</v>
      </c>
      <c r="S183" s="245">
        <v>0</v>
      </c>
      <c r="T183" s="239">
        <v>79.71154929577466</v>
      </c>
      <c r="U183" s="246">
        <f t="shared" si="8"/>
        <v>36.612891917045289</v>
      </c>
      <c r="V183" s="240">
        <f t="shared" si="9"/>
        <v>45.802150013517746</v>
      </c>
      <c r="W183" s="248">
        <v>0</v>
      </c>
      <c r="X183" s="242">
        <f t="shared" si="10"/>
        <v>82.415041930563035</v>
      </c>
      <c r="AB183" s="355">
        <v>2020</v>
      </c>
      <c r="AC183" s="358">
        <v>1.1768685591581038</v>
      </c>
    </row>
    <row r="184" spans="2:29" ht="15" thickBot="1">
      <c r="B184" s="233">
        <v>2021</v>
      </c>
      <c r="C184" s="234">
        <v>31.525290025438199</v>
      </c>
      <c r="D184" s="235">
        <v>1.087</v>
      </c>
      <c r="E184" s="243">
        <v>49.562631094756213</v>
      </c>
      <c r="F184" s="244">
        <v>36.43679852805888</v>
      </c>
      <c r="G184" s="245">
        <v>0</v>
      </c>
      <c r="H184" s="239">
        <v>85.999429622815086</v>
      </c>
      <c r="I184" s="243">
        <v>43.242741490340386</v>
      </c>
      <c r="J184" s="244">
        <v>36.43679852805888</v>
      </c>
      <c r="K184" s="245">
        <v>0</v>
      </c>
      <c r="L184" s="239">
        <v>79.679540018399265</v>
      </c>
      <c r="M184" s="243">
        <v>-0.46403716651334292</v>
      </c>
      <c r="N184" s="244">
        <v>36.43679852805888</v>
      </c>
      <c r="O184" s="245">
        <v>0</v>
      </c>
      <c r="P184" s="239">
        <v>35.972761361545537</v>
      </c>
      <c r="Q184" s="243">
        <v>39.12916283348666</v>
      </c>
      <c r="R184" s="244">
        <v>36.43679852805888</v>
      </c>
      <c r="S184" s="245">
        <v>0</v>
      </c>
      <c r="T184" s="239">
        <v>75.565961361545533</v>
      </c>
      <c r="U184" s="246">
        <f t="shared" si="8"/>
        <v>35.893207512771816</v>
      </c>
      <c r="V184" s="240">
        <f t="shared" si="9"/>
        <v>47.674709974561807</v>
      </c>
      <c r="W184" s="248">
        <v>0</v>
      </c>
      <c r="X184" s="242">
        <f t="shared" si="10"/>
        <v>83.567917487333631</v>
      </c>
      <c r="AB184" s="355">
        <v>2021</v>
      </c>
      <c r="AC184" s="358">
        <v>1.2004656129350475</v>
      </c>
    </row>
    <row r="185" spans="2:29" ht="15" thickBot="1">
      <c r="B185" s="233">
        <v>2022</v>
      </c>
      <c r="C185" s="234">
        <v>32.762548621541896</v>
      </c>
      <c r="D185" s="235">
        <v>1.107</v>
      </c>
      <c r="E185" s="243">
        <v>48.984805781391103</v>
      </c>
      <c r="F185" s="244">
        <v>33.000542005420058</v>
      </c>
      <c r="G185" s="245">
        <v>0</v>
      </c>
      <c r="H185" s="239">
        <v>81.985347786811204</v>
      </c>
      <c r="I185" s="243">
        <v>42.928690153568205</v>
      </c>
      <c r="J185" s="244">
        <v>33.000542005420058</v>
      </c>
      <c r="K185" s="245">
        <v>0</v>
      </c>
      <c r="L185" s="239">
        <v>75.92923215898827</v>
      </c>
      <c r="M185" s="243">
        <v>-3.8234135501354984</v>
      </c>
      <c r="N185" s="244">
        <v>33.000542005420058</v>
      </c>
      <c r="O185" s="245">
        <v>0</v>
      </c>
      <c r="P185" s="239">
        <v>29.17712845528456</v>
      </c>
      <c r="Q185" s="243">
        <v>38.8449864498645</v>
      </c>
      <c r="R185" s="244">
        <v>33.000542005420058</v>
      </c>
      <c r="S185" s="245">
        <v>0</v>
      </c>
      <c r="T185" s="239">
        <v>71.845528455284551</v>
      </c>
      <c r="U185" s="246">
        <f t="shared" si="8"/>
        <v>35.215205924263081</v>
      </c>
      <c r="V185" s="240">
        <f t="shared" si="9"/>
        <v>46.437451378458107</v>
      </c>
      <c r="W185" s="248">
        <v>0</v>
      </c>
      <c r="X185" s="242">
        <f t="shared" si="10"/>
        <v>81.652657302721195</v>
      </c>
      <c r="AB185" s="355">
        <v>2022</v>
      </c>
      <c r="AC185" s="358">
        <v>1.2235782874504417</v>
      </c>
    </row>
    <row r="186" spans="2:29" ht="15" thickBot="1">
      <c r="B186" s="233">
        <v>2023</v>
      </c>
      <c r="C186" s="234">
        <v>33.367688312875465</v>
      </c>
      <c r="D186" s="235">
        <v>1.1299999999999999</v>
      </c>
      <c r="E186" s="243">
        <v>0</v>
      </c>
      <c r="F186" s="244">
        <v>0</v>
      </c>
      <c r="G186" s="245">
        <v>0</v>
      </c>
      <c r="H186" s="239">
        <v>0</v>
      </c>
      <c r="I186" s="243">
        <v>0</v>
      </c>
      <c r="J186" s="244">
        <v>0</v>
      </c>
      <c r="K186" s="245">
        <v>0</v>
      </c>
      <c r="L186" s="239">
        <v>0</v>
      </c>
      <c r="M186" s="243">
        <v>0</v>
      </c>
      <c r="N186" s="244">
        <v>0</v>
      </c>
      <c r="O186" s="245">
        <v>0</v>
      </c>
      <c r="P186" s="239">
        <v>0</v>
      </c>
      <c r="Q186" s="243">
        <v>0</v>
      </c>
      <c r="R186" s="244">
        <v>0</v>
      </c>
      <c r="S186" s="245">
        <v>0</v>
      </c>
      <c r="T186" s="239">
        <v>0</v>
      </c>
      <c r="U186" s="246">
        <f t="shared" si="8"/>
        <v>34.525153232931657</v>
      </c>
      <c r="V186" s="240">
        <f>26+(53.2-C186)</f>
        <v>45.832311687124538</v>
      </c>
      <c r="W186" s="248">
        <v>0</v>
      </c>
      <c r="X186" s="242">
        <f t="shared" si="10"/>
        <v>80.357464920056202</v>
      </c>
      <c r="AB186" s="355">
        <v>2023</v>
      </c>
      <c r="AC186" s="358">
        <v>1.2480338918792879</v>
      </c>
    </row>
    <row r="187" spans="2:29" ht="15" thickBot="1">
      <c r="B187" s="233">
        <v>2024</v>
      </c>
      <c r="C187" s="234">
        <v>33.567123920362071</v>
      </c>
      <c r="D187" s="235">
        <v>1.153</v>
      </c>
      <c r="E187" s="243">
        <v>0</v>
      </c>
      <c r="F187" s="244">
        <v>0</v>
      </c>
      <c r="G187" s="245">
        <v>0</v>
      </c>
      <c r="H187" s="239">
        <v>0</v>
      </c>
      <c r="I187" s="243">
        <v>0</v>
      </c>
      <c r="J187" s="244">
        <v>0</v>
      </c>
      <c r="K187" s="245">
        <v>0</v>
      </c>
      <c r="L187" s="239">
        <v>0</v>
      </c>
      <c r="M187" s="243">
        <v>0</v>
      </c>
      <c r="N187" s="244">
        <v>0</v>
      </c>
      <c r="O187" s="245">
        <v>0</v>
      </c>
      <c r="P187" s="239">
        <v>0</v>
      </c>
      <c r="Q187" s="243">
        <v>0</v>
      </c>
      <c r="R187" s="244">
        <v>0</v>
      </c>
      <c r="S187" s="245">
        <v>0</v>
      </c>
      <c r="T187" s="239">
        <v>0</v>
      </c>
      <c r="U187" s="246">
        <f t="shared" si="8"/>
        <v>33.833912811402939</v>
      </c>
      <c r="V187" s="240">
        <f t="shared" si="9"/>
        <v>45.632876079637931</v>
      </c>
      <c r="W187" s="248">
        <v>0</v>
      </c>
      <c r="X187" s="242">
        <f t="shared" si="10"/>
        <v>79.466788891040864</v>
      </c>
      <c r="AB187" s="355">
        <v>2024</v>
      </c>
      <c r="AC187" s="358">
        <v>1.2735317253197647</v>
      </c>
    </row>
    <row r="188" spans="2:29" ht="15" thickBot="1">
      <c r="B188" s="233">
        <v>2025</v>
      </c>
      <c r="C188" s="234">
        <v>33.506083462913665</v>
      </c>
      <c r="D188" s="235">
        <v>1.1779999999999999</v>
      </c>
      <c r="E188" s="243">
        <v>0</v>
      </c>
      <c r="F188" s="244">
        <v>0</v>
      </c>
      <c r="G188" s="245">
        <v>0</v>
      </c>
      <c r="H188" s="239">
        <v>0</v>
      </c>
      <c r="I188" s="243">
        <v>0</v>
      </c>
      <c r="J188" s="244">
        <v>0</v>
      </c>
      <c r="K188" s="245">
        <v>0</v>
      </c>
      <c r="L188" s="239">
        <v>0</v>
      </c>
      <c r="M188" s="243">
        <v>0</v>
      </c>
      <c r="N188" s="244">
        <v>0</v>
      </c>
      <c r="O188" s="245">
        <v>0</v>
      </c>
      <c r="P188" s="239">
        <v>0</v>
      </c>
      <c r="Q188" s="243">
        <v>0</v>
      </c>
      <c r="R188" s="244">
        <v>0</v>
      </c>
      <c r="S188" s="245">
        <v>0</v>
      </c>
      <c r="T188" s="239">
        <v>0</v>
      </c>
      <c r="U188" s="246">
        <f t="shared" si="8"/>
        <v>33.110657801447445</v>
      </c>
      <c r="V188" s="240">
        <f t="shared" si="9"/>
        <v>45.693916537086338</v>
      </c>
      <c r="W188" s="248">
        <v>0</v>
      </c>
      <c r="X188" s="242">
        <f t="shared" si="10"/>
        <v>78.804574338533783</v>
      </c>
      <c r="AB188" s="355">
        <v>2025</v>
      </c>
      <c r="AC188" s="358">
        <v>1.3013502061907343</v>
      </c>
    </row>
    <row r="189" spans="2:29" ht="15" thickBot="1">
      <c r="B189" s="233">
        <v>2026</v>
      </c>
      <c r="C189" s="234">
        <v>33.467639204304064</v>
      </c>
      <c r="D189" s="235">
        <v>1.2010000000000001</v>
      </c>
      <c r="E189" s="243">
        <v>0</v>
      </c>
      <c r="F189" s="244">
        <v>0</v>
      </c>
      <c r="G189" s="245">
        <v>0</v>
      </c>
      <c r="H189" s="239">
        <v>0</v>
      </c>
      <c r="I189" s="243">
        <v>0</v>
      </c>
      <c r="J189" s="244">
        <v>0</v>
      </c>
      <c r="K189" s="245">
        <v>0</v>
      </c>
      <c r="L189" s="239">
        <v>0</v>
      </c>
      <c r="M189" s="243">
        <v>0</v>
      </c>
      <c r="N189" s="244">
        <v>0</v>
      </c>
      <c r="O189" s="245">
        <v>0</v>
      </c>
      <c r="P189" s="239">
        <v>0</v>
      </c>
      <c r="Q189" s="243">
        <v>0</v>
      </c>
      <c r="R189" s="244">
        <v>0</v>
      </c>
      <c r="S189" s="245">
        <v>0</v>
      </c>
      <c r="T189" s="239">
        <v>0</v>
      </c>
      <c r="U189" s="246">
        <f t="shared" si="8"/>
        <v>32.466864195452771</v>
      </c>
      <c r="V189" s="240">
        <f t="shared" si="9"/>
        <v>45.732360795695939</v>
      </c>
      <c r="W189" s="248">
        <v>0</v>
      </c>
      <c r="X189" s="242">
        <f t="shared" si="10"/>
        <v>78.199224991148711</v>
      </c>
      <c r="AB189" s="355">
        <v>2026</v>
      </c>
      <c r="AC189" s="358">
        <v>1.3271550063359476</v>
      </c>
    </row>
    <row r="190" spans="2:29" ht="15" thickBot="1">
      <c r="B190" s="233">
        <v>2027</v>
      </c>
      <c r="C190" s="234">
        <v>33.442947086231669</v>
      </c>
      <c r="D190" s="235">
        <v>1.2250000000000001</v>
      </c>
      <c r="E190" s="243">
        <v>0</v>
      </c>
      <c r="F190" s="244">
        <v>0</v>
      </c>
      <c r="G190" s="245">
        <v>0</v>
      </c>
      <c r="H190" s="239">
        <v>0</v>
      </c>
      <c r="I190" s="243">
        <v>0</v>
      </c>
      <c r="J190" s="244">
        <v>0</v>
      </c>
      <c r="K190" s="245">
        <v>0</v>
      </c>
      <c r="L190" s="239">
        <v>0</v>
      </c>
      <c r="M190" s="243">
        <v>0</v>
      </c>
      <c r="N190" s="244">
        <v>0</v>
      </c>
      <c r="O190" s="245">
        <v>0</v>
      </c>
      <c r="P190" s="239">
        <v>0</v>
      </c>
      <c r="Q190" s="243">
        <v>0</v>
      </c>
      <c r="R190" s="244">
        <v>0</v>
      </c>
      <c r="S190" s="245">
        <v>0</v>
      </c>
      <c r="T190" s="239">
        <v>0</v>
      </c>
      <c r="U190" s="246">
        <f t="shared" si="8"/>
        <v>31.829225136249374</v>
      </c>
      <c r="V190" s="240">
        <f t="shared" si="9"/>
        <v>45.757052913768334</v>
      </c>
      <c r="W190" s="248">
        <v>0</v>
      </c>
      <c r="X190" s="242">
        <f t="shared" si="10"/>
        <v>77.586278050017711</v>
      </c>
      <c r="AB190" s="355">
        <v>2027</v>
      </c>
      <c r="AC190" s="358">
        <v>1.3537420773700259</v>
      </c>
    </row>
    <row r="191" spans="2:29" ht="15" thickBot="1">
      <c r="B191" s="233">
        <v>2028</v>
      </c>
      <c r="C191" s="234">
        <v>33.42179959045346</v>
      </c>
      <c r="D191" s="235">
        <v>1.25</v>
      </c>
      <c r="E191" s="243">
        <v>0</v>
      </c>
      <c r="F191" s="244">
        <v>0</v>
      </c>
      <c r="G191" s="245">
        <v>0</v>
      </c>
      <c r="H191" s="239">
        <v>0</v>
      </c>
      <c r="I191" s="243">
        <v>0</v>
      </c>
      <c r="J191" s="244">
        <v>0</v>
      </c>
      <c r="K191" s="245">
        <v>0</v>
      </c>
      <c r="L191" s="239">
        <v>0</v>
      </c>
      <c r="M191" s="243">
        <v>0</v>
      </c>
      <c r="N191" s="244">
        <v>0</v>
      </c>
      <c r="O191" s="245">
        <v>0</v>
      </c>
      <c r="P191" s="239">
        <v>0</v>
      </c>
      <c r="Q191" s="243">
        <v>0</v>
      </c>
      <c r="R191" s="244">
        <v>0</v>
      </c>
      <c r="S191" s="245">
        <v>0</v>
      </c>
      <c r="T191" s="239">
        <v>0</v>
      </c>
      <c r="U191" s="246">
        <f t="shared" si="8"/>
        <v>31.205290398883481</v>
      </c>
      <c r="V191" s="240">
        <f t="shared" si="9"/>
        <v>45.778200409546542</v>
      </c>
      <c r="W191" s="248">
        <v>0</v>
      </c>
      <c r="X191" s="242">
        <f t="shared" si="10"/>
        <v>76.98349080843002</v>
      </c>
      <c r="AB191" s="355">
        <v>2028</v>
      </c>
      <c r="AC191" s="358">
        <v>1.380809497564111</v>
      </c>
    </row>
    <row r="192" spans="2:29" ht="15" thickBot="1">
      <c r="B192" s="233">
        <v>2029</v>
      </c>
      <c r="C192" s="234">
        <v>33.414220248022303</v>
      </c>
      <c r="D192" s="235">
        <v>1.274</v>
      </c>
      <c r="E192" s="243">
        <v>0</v>
      </c>
      <c r="F192" s="244">
        <v>0</v>
      </c>
      <c r="G192" s="245">
        <v>0</v>
      </c>
      <c r="H192" s="239">
        <v>0</v>
      </c>
      <c r="I192" s="243">
        <v>0</v>
      </c>
      <c r="J192" s="244">
        <v>0</v>
      </c>
      <c r="K192" s="245">
        <v>0</v>
      </c>
      <c r="L192" s="239">
        <v>0</v>
      </c>
      <c r="M192" s="243">
        <v>0</v>
      </c>
      <c r="N192" s="244">
        <v>0</v>
      </c>
      <c r="O192" s="245">
        <v>0</v>
      </c>
      <c r="P192" s="239">
        <v>0</v>
      </c>
      <c r="Q192" s="243">
        <v>0</v>
      </c>
      <c r="R192" s="244">
        <v>0</v>
      </c>
      <c r="S192" s="245">
        <v>0</v>
      </c>
      <c r="T192" s="239">
        <v>0</v>
      </c>
      <c r="U192" s="246">
        <f t="shared" si="8"/>
        <v>30.603728235287562</v>
      </c>
      <c r="V192" s="240">
        <f t="shared" si="9"/>
        <v>45.785779751977699</v>
      </c>
      <c r="W192" s="248">
        <v>0</v>
      </c>
      <c r="X192" s="242">
        <f t="shared" si="10"/>
        <v>76.389507987265262</v>
      </c>
      <c r="AB192" s="355">
        <v>2029</v>
      </c>
      <c r="AC192" s="358">
        <v>1.4079513785297997</v>
      </c>
    </row>
    <row r="193" spans="2:29" ht="15" thickBot="1">
      <c r="B193" s="233">
        <v>2030</v>
      </c>
      <c r="C193" s="234">
        <v>33.412152610409883</v>
      </c>
      <c r="D193" s="235">
        <v>1.2989999999999999</v>
      </c>
      <c r="E193" s="243">
        <v>0</v>
      </c>
      <c r="F193" s="244">
        <v>0</v>
      </c>
      <c r="G193" s="245">
        <v>0</v>
      </c>
      <c r="H193" s="239">
        <v>0</v>
      </c>
      <c r="I193" s="243">
        <v>0</v>
      </c>
      <c r="J193" s="244">
        <v>0</v>
      </c>
      <c r="K193" s="245">
        <v>0</v>
      </c>
      <c r="L193" s="239">
        <v>0</v>
      </c>
      <c r="M193" s="243">
        <v>0</v>
      </c>
      <c r="N193" s="244">
        <v>0</v>
      </c>
      <c r="O193" s="245">
        <v>0</v>
      </c>
      <c r="P193" s="239">
        <v>0</v>
      </c>
      <c r="Q193" s="243">
        <v>0</v>
      </c>
      <c r="R193" s="244">
        <v>0</v>
      </c>
      <c r="S193" s="245">
        <v>0</v>
      </c>
      <c r="T193" s="239">
        <v>0</v>
      </c>
      <c r="U193" s="246">
        <f t="shared" si="8"/>
        <v>30.02470759330048</v>
      </c>
      <c r="V193" s="240">
        <f t="shared" si="9"/>
        <v>45.787847389590119</v>
      </c>
      <c r="W193" s="248">
        <v>0</v>
      </c>
      <c r="X193" s="242">
        <f t="shared" si="10"/>
        <v>75.812554982890603</v>
      </c>
      <c r="AB193" s="355">
        <v>2030</v>
      </c>
      <c r="AC193" s="358">
        <v>1.4351034468238744</v>
      </c>
    </row>
    <row r="194" spans="2:29" ht="15" thickBot="1">
      <c r="B194" s="233">
        <v>2031</v>
      </c>
      <c r="C194" s="234">
        <v>33.458238338148384</v>
      </c>
      <c r="D194" s="235">
        <v>1.325</v>
      </c>
      <c r="E194" s="243">
        <v>0</v>
      </c>
      <c r="F194" s="244">
        <v>0</v>
      </c>
      <c r="G194" s="245">
        <v>0</v>
      </c>
      <c r="H194" s="239">
        <v>0</v>
      </c>
      <c r="I194" s="243">
        <v>0</v>
      </c>
      <c r="J194" s="244">
        <v>0</v>
      </c>
      <c r="K194" s="245">
        <v>0</v>
      </c>
      <c r="L194" s="239">
        <v>0</v>
      </c>
      <c r="M194" s="243">
        <v>0</v>
      </c>
      <c r="N194" s="244">
        <v>0</v>
      </c>
      <c r="O194" s="245">
        <v>0</v>
      </c>
      <c r="P194" s="239">
        <v>0</v>
      </c>
      <c r="Q194" s="243">
        <v>0</v>
      </c>
      <c r="R194" s="244">
        <v>0</v>
      </c>
      <c r="S194" s="245">
        <v>0</v>
      </c>
      <c r="T194" s="239">
        <v>0</v>
      </c>
      <c r="U194" s="246">
        <f t="shared" si="8"/>
        <v>29.441793532193667</v>
      </c>
      <c r="V194" s="240">
        <f t="shared" si="9"/>
        <v>45.741761661851619</v>
      </c>
      <c r="W194" s="248">
        <v>0</v>
      </c>
      <c r="X194" s="242">
        <f t="shared" si="10"/>
        <v>75.183555194045283</v>
      </c>
      <c r="AB194" s="355">
        <v>2031</v>
      </c>
      <c r="AC194" s="358">
        <v>1.4635168645520356</v>
      </c>
    </row>
    <row r="195" spans="2:29" ht="15" thickBot="1">
      <c r="B195" s="233">
        <v>2032</v>
      </c>
      <c r="C195" s="234">
        <v>33.504324065886884</v>
      </c>
      <c r="D195" s="235">
        <v>1.351</v>
      </c>
      <c r="E195" s="243">
        <v>0</v>
      </c>
      <c r="F195" s="244">
        <v>0</v>
      </c>
      <c r="G195" s="245">
        <v>0</v>
      </c>
      <c r="H195" s="239">
        <v>0</v>
      </c>
      <c r="I195" s="243">
        <v>0</v>
      </c>
      <c r="J195" s="244">
        <v>0</v>
      </c>
      <c r="K195" s="245">
        <v>0</v>
      </c>
      <c r="L195" s="239">
        <v>0</v>
      </c>
      <c r="M195" s="243">
        <v>0</v>
      </c>
      <c r="N195" s="244">
        <v>0</v>
      </c>
      <c r="O195" s="245">
        <v>0</v>
      </c>
      <c r="P195" s="239">
        <v>0</v>
      </c>
      <c r="Q195" s="243">
        <v>0</v>
      </c>
      <c r="R195" s="244">
        <v>0</v>
      </c>
      <c r="S195" s="245">
        <v>0</v>
      </c>
      <c r="T195" s="239">
        <v>0</v>
      </c>
      <c r="U195" s="246">
        <f t="shared" si="8"/>
        <v>28.872758911517131</v>
      </c>
      <c r="V195" s="240">
        <f>26+(53.2-C195)</f>
        <v>45.695675934113119</v>
      </c>
      <c r="W195" s="248">
        <v>0</v>
      </c>
      <c r="X195" s="242">
        <f t="shared" si="10"/>
        <v>74.56843484563025</v>
      </c>
      <c r="AB195" s="355">
        <v>2032</v>
      </c>
      <c r="AC195" s="358">
        <v>1.4923603764043749</v>
      </c>
    </row>
    <row r="196" spans="2:29" ht="15" thickBot="1">
      <c r="B196" s="233">
        <v>2033</v>
      </c>
      <c r="C196" s="234">
        <v>33.550409793625377</v>
      </c>
      <c r="D196" s="235">
        <v>1.377</v>
      </c>
      <c r="E196" s="243">
        <v>0</v>
      </c>
      <c r="F196" s="244">
        <v>0</v>
      </c>
      <c r="G196" s="245">
        <v>0</v>
      </c>
      <c r="H196" s="239">
        <v>0</v>
      </c>
      <c r="I196" s="243">
        <v>0</v>
      </c>
      <c r="J196" s="244">
        <v>0</v>
      </c>
      <c r="K196" s="245">
        <v>0</v>
      </c>
      <c r="L196" s="239">
        <v>0</v>
      </c>
      <c r="M196" s="243">
        <v>0</v>
      </c>
      <c r="N196" s="244">
        <v>0</v>
      </c>
      <c r="O196" s="245">
        <v>0</v>
      </c>
      <c r="P196" s="239">
        <v>0</v>
      </c>
      <c r="Q196" s="243">
        <v>0</v>
      </c>
      <c r="R196" s="244">
        <v>0</v>
      </c>
      <c r="S196" s="245">
        <v>0</v>
      </c>
      <c r="T196" s="239">
        <v>0</v>
      </c>
      <c r="U196" s="246">
        <v>0</v>
      </c>
      <c r="V196" s="247">
        <v>0</v>
      </c>
      <c r="W196" s="248">
        <v>0</v>
      </c>
      <c r="X196" s="242">
        <v>0</v>
      </c>
      <c r="AB196" s="355">
        <v>2033</v>
      </c>
      <c r="AC196" s="358">
        <v>1.5217037068686909</v>
      </c>
    </row>
    <row r="197" spans="2:29" ht="15" thickBot="1">
      <c r="B197" s="233">
        <v>2034</v>
      </c>
      <c r="C197" s="234">
        <v>33.59649552136387</v>
      </c>
      <c r="D197" s="235">
        <v>1.4039999999999999</v>
      </c>
      <c r="E197" s="243">
        <v>0</v>
      </c>
      <c r="F197" s="244">
        <v>0</v>
      </c>
      <c r="G197" s="245">
        <v>0</v>
      </c>
      <c r="H197" s="239">
        <v>0</v>
      </c>
      <c r="I197" s="243">
        <v>0</v>
      </c>
      <c r="J197" s="244">
        <v>0</v>
      </c>
      <c r="K197" s="245">
        <v>0</v>
      </c>
      <c r="L197" s="239">
        <v>0</v>
      </c>
      <c r="M197" s="243">
        <v>0</v>
      </c>
      <c r="N197" s="244">
        <v>0</v>
      </c>
      <c r="O197" s="245">
        <v>0</v>
      </c>
      <c r="P197" s="239">
        <v>0</v>
      </c>
      <c r="Q197" s="243">
        <v>0</v>
      </c>
      <c r="R197" s="244">
        <v>0</v>
      </c>
      <c r="S197" s="245">
        <v>0</v>
      </c>
      <c r="T197" s="239">
        <v>0</v>
      </c>
      <c r="U197" s="246">
        <v>0</v>
      </c>
      <c r="V197" s="247">
        <v>0</v>
      </c>
      <c r="W197" s="248">
        <v>0</v>
      </c>
      <c r="X197" s="242">
        <v>0</v>
      </c>
      <c r="AB197" s="355">
        <v>2034</v>
      </c>
      <c r="AC197" s="358">
        <v>1.5515091571514283</v>
      </c>
    </row>
    <row r="198" spans="2:29" ht="15" thickBot="1">
      <c r="B198" s="233">
        <v>2035</v>
      </c>
      <c r="C198" s="234">
        <v>33.642581249102378</v>
      </c>
      <c r="D198" s="235">
        <v>1.4319999999999999</v>
      </c>
      <c r="E198" s="243">
        <v>0</v>
      </c>
      <c r="F198" s="244">
        <v>0</v>
      </c>
      <c r="G198" s="245">
        <v>0</v>
      </c>
      <c r="H198" s="239">
        <v>0</v>
      </c>
      <c r="I198" s="243">
        <v>0</v>
      </c>
      <c r="J198" s="244">
        <v>0</v>
      </c>
      <c r="K198" s="245">
        <v>0</v>
      </c>
      <c r="L198" s="239">
        <v>0</v>
      </c>
      <c r="M198" s="243">
        <v>0</v>
      </c>
      <c r="N198" s="244">
        <v>0</v>
      </c>
      <c r="O198" s="245">
        <v>0</v>
      </c>
      <c r="P198" s="239">
        <v>0</v>
      </c>
      <c r="Q198" s="243">
        <v>0</v>
      </c>
      <c r="R198" s="244">
        <v>0</v>
      </c>
      <c r="S198" s="245">
        <v>0</v>
      </c>
      <c r="T198" s="239">
        <v>0</v>
      </c>
      <c r="U198" s="246">
        <v>0</v>
      </c>
      <c r="V198" s="247">
        <v>0</v>
      </c>
      <c r="W198" s="248">
        <v>0</v>
      </c>
      <c r="X198" s="242">
        <v>0</v>
      </c>
      <c r="AB198" s="355">
        <v>2035</v>
      </c>
      <c r="AC198" s="358">
        <v>1.581918474806369</v>
      </c>
    </row>
    <row r="199" spans="2:29" ht="15" thickBot="1">
      <c r="B199" s="233">
        <v>2036</v>
      </c>
      <c r="C199" s="234">
        <v>33.688666976840878</v>
      </c>
      <c r="D199" s="235">
        <v>1.46</v>
      </c>
      <c r="E199" s="243">
        <v>0</v>
      </c>
      <c r="F199" s="244">
        <v>0</v>
      </c>
      <c r="G199" s="245">
        <v>0</v>
      </c>
      <c r="H199" s="239">
        <v>0</v>
      </c>
      <c r="I199" s="243">
        <v>0</v>
      </c>
      <c r="J199" s="244">
        <v>0</v>
      </c>
      <c r="K199" s="245">
        <v>0</v>
      </c>
      <c r="L199" s="239">
        <v>0</v>
      </c>
      <c r="M199" s="243">
        <v>0</v>
      </c>
      <c r="N199" s="244">
        <v>0</v>
      </c>
      <c r="O199" s="245">
        <v>0</v>
      </c>
      <c r="P199" s="239">
        <v>0</v>
      </c>
      <c r="Q199" s="243">
        <v>0</v>
      </c>
      <c r="R199" s="244">
        <v>0</v>
      </c>
      <c r="S199" s="245">
        <v>0</v>
      </c>
      <c r="T199" s="239">
        <v>0</v>
      </c>
      <c r="U199" s="246">
        <v>0</v>
      </c>
      <c r="V199" s="247">
        <v>0</v>
      </c>
      <c r="W199" s="248">
        <v>0</v>
      </c>
      <c r="X199" s="242">
        <v>0</v>
      </c>
      <c r="AB199" s="355">
        <v>2036</v>
      </c>
      <c r="AC199" s="358">
        <v>1.6127107576000574</v>
      </c>
    </row>
    <row r="200" spans="2:29" ht="15" thickBot="1">
      <c r="B200" s="233">
        <v>2037</v>
      </c>
      <c r="C200" s="234">
        <v>33.734752704579364</v>
      </c>
      <c r="D200" s="235">
        <v>1.488</v>
      </c>
      <c r="E200" s="243">
        <v>0</v>
      </c>
      <c r="F200" s="244">
        <v>0</v>
      </c>
      <c r="G200" s="245">
        <v>0</v>
      </c>
      <c r="H200" s="239">
        <v>0</v>
      </c>
      <c r="I200" s="243">
        <v>0</v>
      </c>
      <c r="J200" s="244">
        <v>0</v>
      </c>
      <c r="K200" s="245">
        <v>0</v>
      </c>
      <c r="L200" s="239">
        <v>0</v>
      </c>
      <c r="M200" s="243">
        <v>0</v>
      </c>
      <c r="N200" s="244">
        <v>0</v>
      </c>
      <c r="O200" s="245">
        <v>0</v>
      </c>
      <c r="P200" s="239">
        <v>0</v>
      </c>
      <c r="Q200" s="243">
        <v>0</v>
      </c>
      <c r="R200" s="244">
        <v>0</v>
      </c>
      <c r="S200" s="245">
        <v>0</v>
      </c>
      <c r="T200" s="239">
        <v>0</v>
      </c>
      <c r="U200" s="246">
        <v>0</v>
      </c>
      <c r="V200" s="247">
        <v>0</v>
      </c>
      <c r="W200" s="248">
        <v>0</v>
      </c>
      <c r="X200" s="242">
        <v>0</v>
      </c>
      <c r="AB200" s="355">
        <v>2037</v>
      </c>
      <c r="AC200" s="358">
        <v>1.6440289517598916</v>
      </c>
    </row>
    <row r="201" spans="2:29" ht="15" thickBot="1">
      <c r="B201" s="233">
        <v>2038</v>
      </c>
      <c r="C201" s="234">
        <v>33.780838432317864</v>
      </c>
      <c r="D201" s="235">
        <v>1.5169999999999999</v>
      </c>
      <c r="E201" s="243">
        <v>0</v>
      </c>
      <c r="F201" s="244">
        <v>0</v>
      </c>
      <c r="G201" s="245">
        <v>0</v>
      </c>
      <c r="H201" s="239">
        <v>0</v>
      </c>
      <c r="I201" s="243">
        <v>0</v>
      </c>
      <c r="J201" s="244">
        <v>0</v>
      </c>
      <c r="K201" s="245">
        <v>0</v>
      </c>
      <c r="L201" s="239">
        <v>0</v>
      </c>
      <c r="M201" s="243">
        <v>0</v>
      </c>
      <c r="N201" s="244">
        <v>0</v>
      </c>
      <c r="O201" s="245">
        <v>0</v>
      </c>
      <c r="P201" s="239">
        <v>0</v>
      </c>
      <c r="Q201" s="243">
        <v>0</v>
      </c>
      <c r="R201" s="244">
        <v>0</v>
      </c>
      <c r="S201" s="245">
        <v>0</v>
      </c>
      <c r="T201" s="239">
        <v>0</v>
      </c>
      <c r="U201" s="246">
        <v>0</v>
      </c>
      <c r="V201" s="247">
        <v>0</v>
      </c>
      <c r="W201" s="248">
        <v>0</v>
      </c>
      <c r="X201" s="242">
        <v>0</v>
      </c>
      <c r="AB201" s="355">
        <v>2038</v>
      </c>
      <c r="AC201" s="358">
        <v>1.6759206535094842</v>
      </c>
    </row>
    <row r="202" spans="2:29" ht="15" thickBot="1">
      <c r="B202" s="233">
        <v>2039</v>
      </c>
      <c r="C202" s="234">
        <v>33.82692416005635</v>
      </c>
      <c r="D202" s="235">
        <v>1.546</v>
      </c>
      <c r="E202" s="243">
        <v>0</v>
      </c>
      <c r="F202" s="244">
        <v>0</v>
      </c>
      <c r="G202" s="245">
        <v>0</v>
      </c>
      <c r="H202" s="239">
        <v>0</v>
      </c>
      <c r="I202" s="243">
        <v>0</v>
      </c>
      <c r="J202" s="244">
        <v>0</v>
      </c>
      <c r="K202" s="245">
        <v>0</v>
      </c>
      <c r="L202" s="239">
        <v>0</v>
      </c>
      <c r="M202" s="243">
        <v>0</v>
      </c>
      <c r="N202" s="244">
        <v>0</v>
      </c>
      <c r="O202" s="245">
        <v>0</v>
      </c>
      <c r="P202" s="239">
        <v>0</v>
      </c>
      <c r="Q202" s="243">
        <v>0</v>
      </c>
      <c r="R202" s="244">
        <v>0</v>
      </c>
      <c r="S202" s="245">
        <v>0</v>
      </c>
      <c r="T202" s="239">
        <v>0</v>
      </c>
      <c r="U202" s="246">
        <v>0</v>
      </c>
      <c r="V202" s="247">
        <v>0</v>
      </c>
      <c r="W202" s="248">
        <v>0</v>
      </c>
      <c r="X202" s="242">
        <v>0</v>
      </c>
      <c r="AB202" s="355">
        <v>2039</v>
      </c>
      <c r="AC202" s="358">
        <v>1.708313814330831</v>
      </c>
    </row>
    <row r="203" spans="2:29" ht="15" thickBot="1">
      <c r="B203" s="233">
        <v>2040</v>
      </c>
      <c r="C203" s="234">
        <v>33.873009887794851</v>
      </c>
      <c r="D203" s="235">
        <v>1.5760000000000001</v>
      </c>
      <c r="E203" s="243">
        <v>0</v>
      </c>
      <c r="F203" s="244">
        <v>0</v>
      </c>
      <c r="G203" s="245">
        <v>0</v>
      </c>
      <c r="H203" s="239">
        <v>0</v>
      </c>
      <c r="I203" s="243">
        <v>0</v>
      </c>
      <c r="J203" s="244">
        <v>0</v>
      </c>
      <c r="K203" s="245">
        <v>0</v>
      </c>
      <c r="L203" s="239">
        <v>0</v>
      </c>
      <c r="M203" s="243">
        <v>0</v>
      </c>
      <c r="N203" s="244">
        <v>0</v>
      </c>
      <c r="O203" s="245">
        <v>0</v>
      </c>
      <c r="P203" s="239">
        <v>0</v>
      </c>
      <c r="Q203" s="243">
        <v>0</v>
      </c>
      <c r="R203" s="244">
        <v>0</v>
      </c>
      <c r="S203" s="245">
        <v>0</v>
      </c>
      <c r="T203" s="239">
        <v>0</v>
      </c>
      <c r="U203" s="246">
        <v>0</v>
      </c>
      <c r="V203" s="247">
        <v>0</v>
      </c>
      <c r="W203" s="248">
        <v>0</v>
      </c>
      <c r="X203" s="242">
        <v>0</v>
      </c>
      <c r="AB203" s="355">
        <v>2040</v>
      </c>
      <c r="AC203" s="358">
        <v>1.7413978526531626</v>
      </c>
    </row>
    <row r="204" spans="2:29" ht="15" thickBot="1">
      <c r="B204" s="233">
        <v>2041</v>
      </c>
      <c r="C204" s="234">
        <v>33.919095615533351</v>
      </c>
      <c r="D204" s="235">
        <v>1.7560684003630029</v>
      </c>
      <c r="E204" s="243">
        <v>0</v>
      </c>
      <c r="F204" s="244">
        <v>0</v>
      </c>
      <c r="G204" s="245">
        <v>0</v>
      </c>
      <c r="H204" s="239">
        <v>0</v>
      </c>
      <c r="I204" s="243">
        <v>0</v>
      </c>
      <c r="J204" s="244">
        <v>0</v>
      </c>
      <c r="K204" s="245">
        <v>0</v>
      </c>
      <c r="L204" s="239">
        <v>0</v>
      </c>
      <c r="M204" s="243">
        <v>0</v>
      </c>
      <c r="N204" s="244">
        <v>0</v>
      </c>
      <c r="O204" s="245">
        <v>0</v>
      </c>
      <c r="P204" s="239">
        <v>0</v>
      </c>
      <c r="Q204" s="243">
        <v>0</v>
      </c>
      <c r="R204" s="244">
        <v>0</v>
      </c>
      <c r="S204" s="245">
        <v>0</v>
      </c>
      <c r="T204" s="239">
        <v>0</v>
      </c>
      <c r="U204" s="246">
        <v>0</v>
      </c>
      <c r="V204" s="247">
        <v>0</v>
      </c>
      <c r="W204" s="248">
        <v>0</v>
      </c>
      <c r="X204" s="242">
        <v>0</v>
      </c>
      <c r="AB204" s="355">
        <v>2041</v>
      </c>
      <c r="AC204" s="358">
        <v>1.7745956956990647</v>
      </c>
    </row>
    <row r="205" spans="2:29" ht="15" thickBot="1">
      <c r="B205" s="233">
        <v>2042</v>
      </c>
      <c r="C205" s="234">
        <v>33.965181343271844</v>
      </c>
      <c r="D205" s="235">
        <v>1.7894702635569317</v>
      </c>
      <c r="E205" s="243">
        <v>0</v>
      </c>
      <c r="F205" s="244">
        <v>0</v>
      </c>
      <c r="G205" s="245">
        <v>0</v>
      </c>
      <c r="H205" s="239">
        <v>0</v>
      </c>
      <c r="I205" s="243">
        <v>0</v>
      </c>
      <c r="J205" s="244">
        <v>0</v>
      </c>
      <c r="K205" s="245">
        <v>0</v>
      </c>
      <c r="L205" s="239">
        <v>0</v>
      </c>
      <c r="M205" s="243">
        <v>0</v>
      </c>
      <c r="N205" s="244">
        <v>0</v>
      </c>
      <c r="O205" s="245">
        <v>0</v>
      </c>
      <c r="P205" s="239">
        <v>0</v>
      </c>
      <c r="Q205" s="243">
        <v>0</v>
      </c>
      <c r="R205" s="244">
        <v>0</v>
      </c>
      <c r="S205" s="245">
        <v>0</v>
      </c>
      <c r="T205" s="239">
        <v>0</v>
      </c>
      <c r="U205" s="246">
        <v>0</v>
      </c>
      <c r="V205" s="247">
        <v>0</v>
      </c>
      <c r="W205" s="248">
        <v>0</v>
      </c>
      <c r="X205" s="242">
        <v>0</v>
      </c>
      <c r="AB205" s="355">
        <v>2042</v>
      </c>
      <c r="AC205" s="358">
        <v>1.8084459205964027</v>
      </c>
    </row>
    <row r="206" spans="2:29" ht="15" thickBot="1">
      <c r="B206" s="233">
        <v>2043</v>
      </c>
      <c r="C206" s="234">
        <v>34.011267071010337</v>
      </c>
      <c r="D206" s="235">
        <v>1.8235757944170923</v>
      </c>
      <c r="E206" s="243">
        <v>0</v>
      </c>
      <c r="F206" s="244">
        <v>0</v>
      </c>
      <c r="G206" s="245">
        <v>0</v>
      </c>
      <c r="H206" s="239">
        <v>0</v>
      </c>
      <c r="I206" s="243">
        <v>0</v>
      </c>
      <c r="J206" s="244">
        <v>0</v>
      </c>
      <c r="K206" s="245">
        <v>0</v>
      </c>
      <c r="L206" s="239">
        <v>0</v>
      </c>
      <c r="M206" s="243">
        <v>0</v>
      </c>
      <c r="N206" s="244">
        <v>0</v>
      </c>
      <c r="O206" s="245">
        <v>0</v>
      </c>
      <c r="P206" s="239">
        <v>0</v>
      </c>
      <c r="Q206" s="243">
        <v>0</v>
      </c>
      <c r="R206" s="244">
        <v>0</v>
      </c>
      <c r="S206" s="245">
        <v>0</v>
      </c>
      <c r="T206" s="239">
        <v>0</v>
      </c>
      <c r="U206" s="246">
        <v>0</v>
      </c>
      <c r="V206" s="247">
        <v>0</v>
      </c>
      <c r="W206" s="248">
        <v>0</v>
      </c>
      <c r="X206" s="242">
        <v>0</v>
      </c>
      <c r="AB206" s="355">
        <v>2043</v>
      </c>
      <c r="AC206" s="358">
        <v>1.8430069885002442</v>
      </c>
    </row>
    <row r="207" spans="2:29" ht="15" thickBot="1">
      <c r="B207" s="233">
        <v>2044</v>
      </c>
      <c r="C207" s="234">
        <v>34.057352798748838</v>
      </c>
      <c r="D207" s="235">
        <v>1.8583193865470544</v>
      </c>
      <c r="E207" s="243">
        <v>0</v>
      </c>
      <c r="F207" s="244">
        <v>0</v>
      </c>
      <c r="G207" s="245">
        <v>0</v>
      </c>
      <c r="H207" s="239">
        <v>0</v>
      </c>
      <c r="I207" s="243">
        <v>0</v>
      </c>
      <c r="J207" s="244">
        <v>0</v>
      </c>
      <c r="K207" s="245">
        <v>0</v>
      </c>
      <c r="L207" s="239">
        <v>0</v>
      </c>
      <c r="M207" s="243">
        <v>0</v>
      </c>
      <c r="N207" s="244">
        <v>0</v>
      </c>
      <c r="O207" s="245">
        <v>0</v>
      </c>
      <c r="P207" s="239">
        <v>0</v>
      </c>
      <c r="Q207" s="243">
        <v>0</v>
      </c>
      <c r="R207" s="244">
        <v>0</v>
      </c>
      <c r="S207" s="245">
        <v>0</v>
      </c>
      <c r="T207" s="239">
        <v>0</v>
      </c>
      <c r="U207" s="246">
        <v>0</v>
      </c>
      <c r="V207" s="247">
        <v>0</v>
      </c>
      <c r="W207" s="248">
        <v>0</v>
      </c>
      <c r="X207" s="242">
        <v>0</v>
      </c>
      <c r="AB207" s="355">
        <v>2044</v>
      </c>
      <c r="AC207" s="358">
        <v>1.8782232269804116</v>
      </c>
    </row>
    <row r="208" spans="2:29" ht="15" thickBot="1">
      <c r="B208" s="233">
        <v>2045</v>
      </c>
      <c r="C208" s="234">
        <v>34.103438526487338</v>
      </c>
      <c r="D208" s="235">
        <v>1.893761914291374</v>
      </c>
      <c r="E208" s="243">
        <v>0</v>
      </c>
      <c r="F208" s="244">
        <v>0</v>
      </c>
      <c r="G208" s="245">
        <v>0</v>
      </c>
      <c r="H208" s="239">
        <v>0</v>
      </c>
      <c r="I208" s="243">
        <v>0</v>
      </c>
      <c r="J208" s="244">
        <v>0</v>
      </c>
      <c r="K208" s="245">
        <v>0</v>
      </c>
      <c r="L208" s="239">
        <v>0</v>
      </c>
      <c r="M208" s="243">
        <v>0</v>
      </c>
      <c r="N208" s="244">
        <v>0</v>
      </c>
      <c r="O208" s="245">
        <v>0</v>
      </c>
      <c r="P208" s="239">
        <v>0</v>
      </c>
      <c r="Q208" s="243">
        <v>0</v>
      </c>
      <c r="R208" s="244">
        <v>0</v>
      </c>
      <c r="S208" s="245">
        <v>0</v>
      </c>
      <c r="T208" s="239">
        <v>0</v>
      </c>
      <c r="U208" s="246">
        <v>0</v>
      </c>
      <c r="V208" s="247">
        <v>0</v>
      </c>
      <c r="W208" s="248">
        <v>0</v>
      </c>
      <c r="X208" s="242">
        <v>0</v>
      </c>
      <c r="AB208" s="355">
        <v>2045</v>
      </c>
      <c r="AC208" s="358">
        <v>1.9143225102354109</v>
      </c>
    </row>
    <row r="209" spans="2:29" ht="15" thickBot="1">
      <c r="B209" s="233">
        <v>2046</v>
      </c>
      <c r="C209" s="234">
        <v>34.149524254225838</v>
      </c>
      <c r="D209" s="235">
        <v>1.9299301237921442</v>
      </c>
      <c r="E209" s="243">
        <v>0</v>
      </c>
      <c r="F209" s="244">
        <v>0</v>
      </c>
      <c r="G209" s="245">
        <v>0</v>
      </c>
      <c r="H209" s="239">
        <v>0</v>
      </c>
      <c r="I209" s="243">
        <v>0</v>
      </c>
      <c r="J209" s="244">
        <v>0</v>
      </c>
      <c r="K209" s="245">
        <v>0</v>
      </c>
      <c r="L209" s="239">
        <v>0</v>
      </c>
      <c r="M209" s="243">
        <v>0</v>
      </c>
      <c r="N209" s="244">
        <v>0</v>
      </c>
      <c r="O209" s="245">
        <v>0</v>
      </c>
      <c r="P209" s="239">
        <v>0</v>
      </c>
      <c r="Q209" s="243">
        <v>0</v>
      </c>
      <c r="R209" s="244">
        <v>0</v>
      </c>
      <c r="S209" s="245">
        <v>0</v>
      </c>
      <c r="T209" s="239">
        <v>0</v>
      </c>
      <c r="U209" s="246">
        <v>0</v>
      </c>
      <c r="V209" s="247">
        <v>0</v>
      </c>
      <c r="W209" s="248">
        <v>0</v>
      </c>
      <c r="X209" s="242">
        <v>0</v>
      </c>
      <c r="AB209" s="355">
        <v>2046</v>
      </c>
      <c r="AC209" s="358">
        <v>1.95121414617952</v>
      </c>
    </row>
    <row r="210" spans="2:29" ht="15" thickBot="1">
      <c r="B210" s="233">
        <v>2047</v>
      </c>
      <c r="C210" s="234">
        <v>34.195609981964324</v>
      </c>
      <c r="D210" s="235">
        <v>1.9667820329675576</v>
      </c>
      <c r="E210" s="243">
        <v>0</v>
      </c>
      <c r="F210" s="244">
        <v>0</v>
      </c>
      <c r="G210" s="245">
        <v>0</v>
      </c>
      <c r="H210" s="239">
        <v>0</v>
      </c>
      <c r="I210" s="243">
        <v>0</v>
      </c>
      <c r="J210" s="244">
        <v>0</v>
      </c>
      <c r="K210" s="245">
        <v>0</v>
      </c>
      <c r="L210" s="239">
        <v>0</v>
      </c>
      <c r="M210" s="243">
        <v>0</v>
      </c>
      <c r="N210" s="244">
        <v>0</v>
      </c>
      <c r="O210" s="245">
        <v>0</v>
      </c>
      <c r="P210" s="239">
        <v>0</v>
      </c>
      <c r="Q210" s="243">
        <v>0</v>
      </c>
      <c r="R210" s="244">
        <v>0</v>
      </c>
      <c r="S210" s="245">
        <v>0</v>
      </c>
      <c r="T210" s="239">
        <v>0</v>
      </c>
      <c r="U210" s="246">
        <v>0</v>
      </c>
      <c r="V210" s="247">
        <v>0</v>
      </c>
      <c r="W210" s="248">
        <v>0</v>
      </c>
      <c r="X210" s="242">
        <v>0</v>
      </c>
      <c r="AB210" s="355">
        <v>2047</v>
      </c>
      <c r="AC210" s="358">
        <v>1.9888466463706842</v>
      </c>
    </row>
    <row r="211" spans="2:29" ht="15" thickBot="1">
      <c r="B211" s="233">
        <v>2048</v>
      </c>
      <c r="C211" s="234">
        <v>34.241695709702832</v>
      </c>
      <c r="D211" s="235">
        <v>2.0044055745040401</v>
      </c>
      <c r="E211" s="243">
        <v>0</v>
      </c>
      <c r="F211" s="244">
        <v>0</v>
      </c>
      <c r="G211" s="245">
        <v>0</v>
      </c>
      <c r="H211" s="239">
        <v>0</v>
      </c>
      <c r="I211" s="243">
        <v>0</v>
      </c>
      <c r="J211" s="244">
        <v>0</v>
      </c>
      <c r="K211" s="245">
        <v>0</v>
      </c>
      <c r="L211" s="239">
        <v>0</v>
      </c>
      <c r="M211" s="243">
        <v>0</v>
      </c>
      <c r="N211" s="244">
        <v>0</v>
      </c>
      <c r="O211" s="245">
        <v>0</v>
      </c>
      <c r="P211" s="239">
        <v>0</v>
      </c>
      <c r="Q211" s="243">
        <v>0</v>
      </c>
      <c r="R211" s="244">
        <v>0</v>
      </c>
      <c r="S211" s="245">
        <v>0</v>
      </c>
      <c r="T211" s="239">
        <v>0</v>
      </c>
      <c r="U211" s="246">
        <v>0</v>
      </c>
      <c r="V211" s="247">
        <v>0</v>
      </c>
      <c r="W211" s="248">
        <v>0</v>
      </c>
      <c r="X211" s="242">
        <v>0</v>
      </c>
      <c r="AB211" s="355">
        <v>2048</v>
      </c>
      <c r="AC211" s="358">
        <v>2.0272409762998471</v>
      </c>
    </row>
    <row r="212" spans="2:29" ht="15" thickBot="1">
      <c r="B212" s="233">
        <v>2049</v>
      </c>
      <c r="C212" s="234">
        <v>34.287781437441318</v>
      </c>
      <c r="D212" s="235">
        <v>2.0427526119742487</v>
      </c>
      <c r="E212" s="243">
        <v>0</v>
      </c>
      <c r="F212" s="244">
        <v>0</v>
      </c>
      <c r="G212" s="245">
        <v>0</v>
      </c>
      <c r="H212" s="239">
        <v>0</v>
      </c>
      <c r="I212" s="243">
        <v>0</v>
      </c>
      <c r="J212" s="244">
        <v>0</v>
      </c>
      <c r="K212" s="245">
        <v>0</v>
      </c>
      <c r="L212" s="239">
        <v>0</v>
      </c>
      <c r="M212" s="243">
        <v>0</v>
      </c>
      <c r="N212" s="244">
        <v>0</v>
      </c>
      <c r="O212" s="245">
        <v>0</v>
      </c>
      <c r="P212" s="239">
        <v>0</v>
      </c>
      <c r="Q212" s="243">
        <v>0</v>
      </c>
      <c r="R212" s="244">
        <v>0</v>
      </c>
      <c r="S212" s="245">
        <v>0</v>
      </c>
      <c r="T212" s="239">
        <v>0</v>
      </c>
      <c r="U212" s="246">
        <v>0</v>
      </c>
      <c r="V212" s="247">
        <v>0</v>
      </c>
      <c r="W212" s="248">
        <v>0</v>
      </c>
      <c r="X212" s="242">
        <v>0</v>
      </c>
      <c r="AB212" s="355">
        <v>2049</v>
      </c>
      <c r="AC212" s="358">
        <v>2.0663551609200463</v>
      </c>
    </row>
    <row r="213" spans="2:29" ht="14.4">
      <c r="B213" s="222">
        <v>2050</v>
      </c>
      <c r="C213" s="249">
        <v>34.333867165179825</v>
      </c>
      <c r="D213" s="250">
        <v>2.0818760835282153</v>
      </c>
      <c r="E213" s="251">
        <v>0</v>
      </c>
      <c r="F213" s="252">
        <v>0</v>
      </c>
      <c r="G213" s="253">
        <v>0</v>
      </c>
      <c r="H213" s="254">
        <v>0</v>
      </c>
      <c r="I213" s="251">
        <v>0</v>
      </c>
      <c r="J213" s="252">
        <v>0</v>
      </c>
      <c r="K213" s="253">
        <v>0</v>
      </c>
      <c r="L213" s="254">
        <v>0</v>
      </c>
      <c r="M213" s="251">
        <v>0</v>
      </c>
      <c r="N213" s="252">
        <v>0</v>
      </c>
      <c r="O213" s="253">
        <v>0</v>
      </c>
      <c r="P213" s="254">
        <v>0</v>
      </c>
      <c r="Q213" s="251">
        <v>0</v>
      </c>
      <c r="R213" s="252">
        <v>0</v>
      </c>
      <c r="S213" s="253">
        <v>0</v>
      </c>
      <c r="T213" s="254">
        <v>0</v>
      </c>
      <c r="U213" s="255">
        <v>0</v>
      </c>
      <c r="V213" s="256">
        <v>0</v>
      </c>
      <c r="W213" s="257">
        <v>0</v>
      </c>
      <c r="X213" s="258">
        <v>0</v>
      </c>
      <c r="AB213" s="356">
        <v>2050</v>
      </c>
      <c r="AC213" s="358">
        <v>2.1064256826297081</v>
      </c>
    </row>
  </sheetData>
  <mergeCells count="25">
    <mergeCell ref="X170:X171"/>
    <mergeCell ref="R170:R171"/>
    <mergeCell ref="S170:S171"/>
    <mergeCell ref="T170:T171"/>
    <mergeCell ref="U170:U171"/>
    <mergeCell ref="V170:V171"/>
    <mergeCell ref="W170:W171"/>
    <mergeCell ref="Q170:Q171"/>
    <mergeCell ref="F170:F171"/>
    <mergeCell ref="G170:G171"/>
    <mergeCell ref="H170:H171"/>
    <mergeCell ref="I170:I171"/>
    <mergeCell ref="J170:J171"/>
    <mergeCell ref="K170:K171"/>
    <mergeCell ref="L170:L171"/>
    <mergeCell ref="M170:M171"/>
    <mergeCell ref="N170:N171"/>
    <mergeCell ref="O170:O171"/>
    <mergeCell ref="P170:P171"/>
    <mergeCell ref="E170:E171"/>
    <mergeCell ref="B143:B145"/>
    <mergeCell ref="B146:B148"/>
    <mergeCell ref="B156:B158"/>
    <mergeCell ref="B159:B161"/>
    <mergeCell ref="B162:B16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A231"/>
  <sheetViews>
    <sheetView workbookViewId="0">
      <selection activeCell="F21" sqref="F21"/>
    </sheetView>
  </sheetViews>
  <sheetFormatPr defaultColWidth="8.88671875" defaultRowHeight="12.6"/>
  <cols>
    <col min="1" max="1" width="8.88671875" style="289"/>
    <col min="2" max="2" width="10.6640625" style="289" customWidth="1"/>
    <col min="3" max="3" width="8.88671875" style="289"/>
    <col min="4" max="4" width="19" style="289" bestFit="1" customWidth="1"/>
    <col min="5" max="5" width="14.33203125" style="289" bestFit="1" customWidth="1"/>
    <col min="6" max="6" width="37.33203125" style="289" bestFit="1" customWidth="1"/>
    <col min="7" max="7" width="23.88671875" style="289" bestFit="1" customWidth="1"/>
    <col min="8" max="8" width="18.6640625" style="289" customWidth="1"/>
    <col min="9" max="10" width="11.109375" style="289" customWidth="1"/>
    <col min="11" max="11" width="8.88671875" style="289"/>
    <col min="12" max="12" width="10.88671875" style="289" customWidth="1"/>
    <col min="13" max="13" width="11.33203125" style="289" customWidth="1"/>
    <col min="14" max="14" width="3.88671875" style="289" customWidth="1"/>
    <col min="15" max="15" width="11.6640625" style="289" customWidth="1"/>
    <col min="16" max="16" width="14.88671875" style="289" customWidth="1"/>
    <col min="17" max="24" width="19.44140625" style="289" customWidth="1"/>
    <col min="25" max="25" width="14.6640625" style="289" customWidth="1"/>
    <col min="26" max="28" width="19.44140625" style="289" customWidth="1"/>
    <col min="29" max="16384" width="8.88671875" style="289"/>
  </cols>
  <sheetData>
    <row r="1" spans="1:26" ht="23.4">
      <c r="B1" s="290" t="s">
        <v>217</v>
      </c>
      <c r="H1" s="289">
        <v>11</v>
      </c>
      <c r="I1" s="289" t="s">
        <v>447</v>
      </c>
      <c r="K1" s="289">
        <f>H1/100</f>
        <v>0.11</v>
      </c>
      <c r="L1" s="289" t="s">
        <v>448</v>
      </c>
      <c r="M1" s="289">
        <f>K1*1000</f>
        <v>110</v>
      </c>
      <c r="N1" s="289" t="s">
        <v>449</v>
      </c>
      <c r="O1" s="291"/>
      <c r="P1" s="292">
        <f>M1*3300</f>
        <v>363000</v>
      </c>
      <c r="Q1" s="291" t="s">
        <v>450</v>
      </c>
      <c r="R1" s="289">
        <f>P1*25</f>
        <v>9075000</v>
      </c>
    </row>
    <row r="5" spans="1:26">
      <c r="B5" s="293" t="s">
        <v>218</v>
      </c>
      <c r="C5" s="293"/>
      <c r="D5" s="293"/>
      <c r="E5" s="293"/>
      <c r="F5" s="293"/>
      <c r="G5" s="293"/>
      <c r="H5" s="293"/>
      <c r="I5" s="293"/>
      <c r="J5" s="293"/>
      <c r="K5" s="293"/>
      <c r="L5" s="293"/>
      <c r="M5" s="293"/>
      <c r="N5" s="293"/>
      <c r="O5" s="293"/>
      <c r="P5" s="293"/>
      <c r="Q5" s="293"/>
      <c r="R5" s="293"/>
      <c r="S5" s="293"/>
      <c r="T5" s="293"/>
      <c r="U5" s="293"/>
      <c r="V5" s="293"/>
      <c r="W5" s="293"/>
      <c r="X5" s="293"/>
      <c r="Y5" s="293"/>
      <c r="Z5" s="293"/>
    </row>
    <row r="6" spans="1:26">
      <c r="B6" s="293"/>
      <c r="C6" s="293"/>
      <c r="D6" s="293"/>
      <c r="E6" s="293"/>
      <c r="F6" s="293"/>
      <c r="G6" s="293"/>
      <c r="H6" s="293"/>
      <c r="I6" s="293"/>
      <c r="J6" s="293"/>
      <c r="K6" s="293"/>
      <c r="L6" s="293"/>
      <c r="M6" s="293"/>
      <c r="N6" s="293"/>
      <c r="O6" s="293"/>
      <c r="P6" s="293"/>
      <c r="Q6" s="293"/>
      <c r="R6" s="293"/>
      <c r="S6" s="293"/>
      <c r="T6" s="293"/>
      <c r="U6" s="293"/>
      <c r="V6" s="293"/>
      <c r="W6" s="293"/>
      <c r="X6" s="293"/>
      <c r="Y6" s="293"/>
      <c r="Z6" s="293"/>
    </row>
    <row r="7" spans="1:26" ht="15.6">
      <c r="A7" s="289" t="s">
        <v>483</v>
      </c>
      <c r="B7" s="294" t="s">
        <v>1</v>
      </c>
      <c r="C7" s="388" t="s">
        <v>261</v>
      </c>
      <c r="D7" s="388"/>
      <c r="E7" s="295" t="s">
        <v>263</v>
      </c>
      <c r="F7" s="295"/>
      <c r="G7" s="294" t="s">
        <v>262</v>
      </c>
      <c r="H7" s="388" t="s">
        <v>265</v>
      </c>
      <c r="I7" s="388"/>
      <c r="J7" s="388"/>
      <c r="K7" s="388"/>
      <c r="L7" s="293"/>
      <c r="M7" s="293"/>
      <c r="N7" s="293"/>
      <c r="O7" s="293"/>
      <c r="P7" s="293"/>
      <c r="Q7" s="293"/>
      <c r="R7" s="293"/>
      <c r="S7" s="293"/>
      <c r="T7" s="293"/>
      <c r="U7" s="293"/>
      <c r="V7" s="293"/>
      <c r="W7" s="293"/>
      <c r="X7" s="293"/>
      <c r="Y7" s="293"/>
      <c r="Z7" s="293"/>
    </row>
    <row r="8" spans="1:26">
      <c r="B8" s="296">
        <v>2010</v>
      </c>
      <c r="C8" s="297">
        <f>((25+1.8)/3)*2+((10+2.3)/3)*1</f>
        <v>21.966666666666669</v>
      </c>
      <c r="D8" s="293" t="s">
        <v>152</v>
      </c>
      <c r="E8" s="298">
        <f t="shared" ref="E8:E40" si="0">C8/0.0036/100</f>
        <v>61.018518518518519</v>
      </c>
      <c r="F8" s="293" t="s">
        <v>282</v>
      </c>
      <c r="G8" s="293" t="s">
        <v>484</v>
      </c>
      <c r="H8" s="293" t="s">
        <v>267</v>
      </c>
      <c r="I8" s="293"/>
      <c r="J8" s="293"/>
      <c r="K8" s="293"/>
      <c r="L8" s="293"/>
      <c r="M8" s="293"/>
      <c r="N8" s="293"/>
      <c r="O8" s="293"/>
      <c r="P8" s="293"/>
      <c r="Q8" s="293"/>
      <c r="R8" s="293"/>
      <c r="S8" s="293" t="s">
        <v>266</v>
      </c>
      <c r="T8" s="293"/>
      <c r="U8" s="293"/>
      <c r="V8" s="293"/>
      <c r="W8" s="293"/>
      <c r="X8" s="293"/>
      <c r="Y8" s="293"/>
      <c r="Z8" s="293"/>
    </row>
    <row r="9" spans="1:26">
      <c r="A9" s="299">
        <f>580-V121</f>
        <v>404.82033485175128</v>
      </c>
      <c r="B9" s="296">
        <v>2015</v>
      </c>
      <c r="C9" s="297">
        <f t="shared" ref="C9:C22" si="1">IF(A9/10&gt;25,((1.8)+25), 1.8+25-(25-A9/10))</f>
        <v>26.8</v>
      </c>
      <c r="D9" s="293" t="s">
        <v>152</v>
      </c>
      <c r="E9" s="298">
        <f t="shared" si="0"/>
        <v>74.444444444444457</v>
      </c>
      <c r="F9" s="293" t="s">
        <v>282</v>
      </c>
      <c r="G9" s="293" t="s">
        <v>484</v>
      </c>
      <c r="H9" s="293" t="s">
        <v>298</v>
      </c>
      <c r="I9" s="293"/>
      <c r="J9" s="293"/>
      <c r="K9" s="293"/>
      <c r="L9" s="293"/>
      <c r="M9" s="293"/>
      <c r="N9" s="293"/>
      <c r="O9" s="293"/>
      <c r="P9" s="293"/>
      <c r="Q9" s="293"/>
      <c r="R9" s="293"/>
      <c r="S9" s="293"/>
      <c r="T9" s="293"/>
      <c r="U9" s="293"/>
      <c r="V9" s="293"/>
      <c r="W9" s="293"/>
      <c r="X9" s="293"/>
      <c r="Y9" s="293"/>
      <c r="Z9" s="293"/>
    </row>
    <row r="10" spans="1:26">
      <c r="A10" s="299">
        <f t="shared" ref="A10:A22" si="2">580-V124</f>
        <v>391.09937560997173</v>
      </c>
      <c r="B10" s="296">
        <v>2018</v>
      </c>
      <c r="C10" s="297">
        <f t="shared" si="1"/>
        <v>26.8</v>
      </c>
      <c r="D10" s="293" t="s">
        <v>152</v>
      </c>
      <c r="E10" s="298">
        <f t="shared" si="0"/>
        <v>74.444444444444457</v>
      </c>
      <c r="F10" s="293" t="s">
        <v>282</v>
      </c>
      <c r="G10" s="293" t="s">
        <v>484</v>
      </c>
      <c r="H10" s="293" t="s">
        <v>298</v>
      </c>
      <c r="I10" s="293"/>
      <c r="J10" s="293"/>
      <c r="K10" s="293"/>
      <c r="L10" s="293"/>
      <c r="M10" s="293"/>
      <c r="N10" s="293"/>
      <c r="O10" s="293"/>
      <c r="P10" s="293"/>
      <c r="Q10" s="293"/>
      <c r="R10" s="293"/>
      <c r="S10" s="293"/>
      <c r="T10" s="293"/>
      <c r="U10" s="293"/>
      <c r="V10" s="293"/>
      <c r="W10" s="293"/>
      <c r="X10" s="293"/>
      <c r="Y10" s="293"/>
      <c r="Z10" s="293"/>
    </row>
    <row r="11" spans="1:26">
      <c r="A11" s="299">
        <f t="shared" si="2"/>
        <v>378.71112188688534</v>
      </c>
      <c r="B11" s="296">
        <v>2019</v>
      </c>
      <c r="C11" s="297">
        <f t="shared" si="1"/>
        <v>26.8</v>
      </c>
      <c r="D11" s="293" t="s">
        <v>152</v>
      </c>
      <c r="E11" s="298">
        <f t="shared" si="0"/>
        <v>74.444444444444457</v>
      </c>
      <c r="F11" s="293" t="s">
        <v>282</v>
      </c>
      <c r="G11" s="293" t="s">
        <v>484</v>
      </c>
      <c r="H11" s="293" t="s">
        <v>298</v>
      </c>
      <c r="I11" s="293"/>
      <c r="J11" s="293"/>
      <c r="K11" s="293"/>
      <c r="L11" s="293"/>
      <c r="M11" s="293"/>
      <c r="N11" s="293"/>
      <c r="O11" s="293"/>
      <c r="P11" s="293"/>
      <c r="Q11" s="293"/>
      <c r="R11" s="293"/>
      <c r="S11" s="293"/>
      <c r="T11" s="293"/>
      <c r="U11" s="293"/>
      <c r="V11" s="293"/>
      <c r="W11" s="293"/>
      <c r="X11" s="293"/>
      <c r="Y11" s="293"/>
      <c r="Z11" s="293"/>
    </row>
    <row r="12" spans="1:26">
      <c r="A12" s="299">
        <f t="shared" si="2"/>
        <v>358.03736995442785</v>
      </c>
      <c r="B12" s="296">
        <v>2020</v>
      </c>
      <c r="C12" s="297">
        <f t="shared" si="1"/>
        <v>26.8</v>
      </c>
      <c r="D12" s="293" t="s">
        <v>152</v>
      </c>
      <c r="E12" s="298">
        <f t="shared" si="0"/>
        <v>74.444444444444457</v>
      </c>
      <c r="F12" s="293" t="s">
        <v>282</v>
      </c>
      <c r="G12" s="293" t="s">
        <v>484</v>
      </c>
      <c r="H12" s="293" t="s">
        <v>298</v>
      </c>
      <c r="I12" s="293"/>
      <c r="J12" s="293"/>
      <c r="K12" s="293"/>
      <c r="L12" s="293"/>
      <c r="M12" s="293"/>
      <c r="N12" s="293"/>
      <c r="O12" s="293"/>
      <c r="P12" s="293"/>
      <c r="Q12" s="293"/>
      <c r="R12" s="293"/>
      <c r="S12" s="293"/>
      <c r="T12" s="293"/>
      <c r="U12" s="293"/>
      <c r="V12" s="293"/>
      <c r="W12" s="293"/>
      <c r="X12" s="293"/>
      <c r="Y12" s="293"/>
      <c r="Z12" s="293"/>
    </row>
    <row r="13" spans="1:26">
      <c r="A13" s="299">
        <f t="shared" si="2"/>
        <v>334.17061855590703</v>
      </c>
      <c r="B13" s="296">
        <v>2021</v>
      </c>
      <c r="C13" s="297">
        <f t="shared" si="1"/>
        <v>26.8</v>
      </c>
      <c r="D13" s="293" t="s">
        <v>152</v>
      </c>
      <c r="E13" s="298">
        <f t="shared" si="0"/>
        <v>74.444444444444457</v>
      </c>
      <c r="F13" s="293" t="s">
        <v>282</v>
      </c>
      <c r="G13" s="293" t="s">
        <v>484</v>
      </c>
      <c r="H13" s="293" t="s">
        <v>267</v>
      </c>
      <c r="I13" s="293"/>
      <c r="J13" s="293"/>
      <c r="K13" s="293"/>
      <c r="L13" s="293"/>
      <c r="M13" s="293"/>
      <c r="N13" s="293"/>
      <c r="O13" s="293"/>
      <c r="P13" s="293"/>
      <c r="Q13" s="293"/>
      <c r="R13" s="293"/>
      <c r="S13" s="293" t="s">
        <v>266</v>
      </c>
      <c r="T13" s="293"/>
      <c r="U13" s="293"/>
      <c r="V13" s="293"/>
      <c r="W13" s="293"/>
      <c r="X13" s="293"/>
      <c r="Y13" s="293"/>
      <c r="Z13" s="293"/>
    </row>
    <row r="14" spans="1:26">
      <c r="A14" s="299">
        <f t="shared" si="2"/>
        <v>320.70114618449981</v>
      </c>
      <c r="B14" s="296">
        <v>2022</v>
      </c>
      <c r="C14" s="297">
        <f t="shared" si="1"/>
        <v>26.8</v>
      </c>
      <c r="D14" s="293" t="s">
        <v>152</v>
      </c>
      <c r="E14" s="298">
        <f t="shared" si="0"/>
        <v>74.444444444444457</v>
      </c>
      <c r="F14" s="293" t="s">
        <v>282</v>
      </c>
      <c r="G14" s="293" t="s">
        <v>484</v>
      </c>
      <c r="H14" s="293" t="s">
        <v>298</v>
      </c>
      <c r="I14" s="293"/>
      <c r="J14" s="293"/>
      <c r="K14" s="293"/>
      <c r="L14" s="293"/>
      <c r="M14" s="293"/>
      <c r="N14" s="293"/>
      <c r="O14" s="293"/>
      <c r="P14" s="293"/>
      <c r="Q14" s="293"/>
      <c r="R14" s="293"/>
      <c r="S14" s="293"/>
      <c r="T14" s="293"/>
      <c r="U14" s="293"/>
      <c r="V14" s="293"/>
      <c r="W14" s="293"/>
      <c r="X14" s="293"/>
      <c r="Y14" s="293"/>
      <c r="Z14" s="293"/>
    </row>
    <row r="15" spans="1:26">
      <c r="A15" s="299">
        <f t="shared" si="2"/>
        <v>303.26245074732492</v>
      </c>
      <c r="B15" s="296">
        <v>2023</v>
      </c>
      <c r="C15" s="297">
        <f t="shared" si="1"/>
        <v>26.8</v>
      </c>
      <c r="D15" s="293" t="s">
        <v>152</v>
      </c>
      <c r="E15" s="298">
        <f t="shared" si="0"/>
        <v>74.444444444444457</v>
      </c>
      <c r="F15" s="293" t="s">
        <v>282</v>
      </c>
      <c r="G15" s="293" t="s">
        <v>484</v>
      </c>
      <c r="H15" s="293" t="s">
        <v>298</v>
      </c>
      <c r="I15" s="293"/>
      <c r="J15" s="293"/>
      <c r="K15" s="293"/>
      <c r="L15" s="293"/>
      <c r="M15" s="293"/>
      <c r="N15" s="293"/>
      <c r="O15" s="293"/>
      <c r="P15" s="293"/>
      <c r="Q15" s="293"/>
      <c r="R15" s="293"/>
      <c r="S15" s="293"/>
      <c r="T15" s="293"/>
      <c r="U15" s="293"/>
      <c r="V15" s="293"/>
      <c r="W15" s="293"/>
      <c r="X15" s="293"/>
      <c r="Y15" s="293"/>
      <c r="Z15" s="293"/>
    </row>
    <row r="16" spans="1:26">
      <c r="A16" s="299">
        <f t="shared" si="2"/>
        <v>296.77049682196832</v>
      </c>
      <c r="B16" s="296">
        <v>2024</v>
      </c>
      <c r="C16" s="297">
        <f t="shared" si="1"/>
        <v>26.8</v>
      </c>
      <c r="D16" s="293" t="s">
        <v>152</v>
      </c>
      <c r="E16" s="298">
        <f t="shared" si="0"/>
        <v>74.444444444444457</v>
      </c>
      <c r="F16" s="293" t="s">
        <v>282</v>
      </c>
      <c r="G16" s="293" t="s">
        <v>484</v>
      </c>
      <c r="H16" s="293" t="s">
        <v>298</v>
      </c>
      <c r="I16" s="293"/>
      <c r="J16" s="293"/>
      <c r="K16" s="293"/>
      <c r="L16" s="293"/>
      <c r="M16" s="293"/>
      <c r="N16" s="293"/>
      <c r="O16" s="293"/>
      <c r="P16" s="293"/>
      <c r="Q16" s="293"/>
      <c r="R16" s="293"/>
      <c r="S16" s="293"/>
      <c r="T16" s="293"/>
      <c r="U16" s="293"/>
      <c r="V16" s="293"/>
      <c r="W16" s="293"/>
      <c r="X16" s="293"/>
      <c r="Y16" s="293"/>
      <c r="Z16" s="293"/>
    </row>
    <row r="17" spans="1:26">
      <c r="A17" s="299">
        <f t="shared" si="2"/>
        <v>272.32331185383185</v>
      </c>
      <c r="B17" s="296">
        <v>2025</v>
      </c>
      <c r="C17" s="297">
        <f t="shared" si="1"/>
        <v>26.8</v>
      </c>
      <c r="D17" s="293" t="s">
        <v>152</v>
      </c>
      <c r="E17" s="298">
        <f t="shared" si="0"/>
        <v>74.444444444444457</v>
      </c>
      <c r="F17" s="293" t="s">
        <v>282</v>
      </c>
      <c r="G17" s="293" t="s">
        <v>484</v>
      </c>
      <c r="H17" s="293" t="s">
        <v>298</v>
      </c>
      <c r="I17" s="293"/>
      <c r="J17" s="293"/>
      <c r="K17" s="293"/>
      <c r="L17" s="293"/>
      <c r="M17" s="293"/>
      <c r="N17" s="293"/>
      <c r="O17" s="293"/>
      <c r="P17" s="293"/>
      <c r="Q17" s="293"/>
      <c r="R17" s="293"/>
      <c r="S17" s="293"/>
      <c r="T17" s="293"/>
      <c r="U17" s="293"/>
      <c r="V17" s="293"/>
      <c r="W17" s="293"/>
      <c r="X17" s="293"/>
      <c r="Y17" s="293"/>
      <c r="Z17" s="293"/>
    </row>
    <row r="18" spans="1:26">
      <c r="A18" s="299">
        <f t="shared" si="2"/>
        <v>260.21504459868845</v>
      </c>
      <c r="B18" s="296">
        <v>2026</v>
      </c>
      <c r="C18" s="297">
        <f t="shared" si="1"/>
        <v>26.8</v>
      </c>
      <c r="D18" s="293" t="s">
        <v>152</v>
      </c>
      <c r="E18" s="298">
        <f t="shared" si="0"/>
        <v>74.444444444444457</v>
      </c>
      <c r="F18" s="293" t="s">
        <v>282</v>
      </c>
      <c r="G18" s="293" t="s">
        <v>484</v>
      </c>
      <c r="H18" s="293" t="s">
        <v>267</v>
      </c>
      <c r="I18" s="293"/>
      <c r="J18" s="293"/>
      <c r="K18" s="293"/>
      <c r="L18" s="293"/>
      <c r="M18" s="293"/>
      <c r="N18" s="293"/>
      <c r="O18" s="293"/>
      <c r="P18" s="293"/>
      <c r="Q18" s="293"/>
      <c r="R18" s="293"/>
      <c r="S18" s="293" t="s">
        <v>266</v>
      </c>
      <c r="T18" s="293"/>
      <c r="U18" s="293"/>
      <c r="V18" s="293"/>
      <c r="W18" s="293"/>
      <c r="X18" s="293"/>
      <c r="Y18" s="293"/>
      <c r="Z18" s="293"/>
    </row>
    <row r="19" spans="1:26">
      <c r="A19" s="299">
        <f t="shared" si="2"/>
        <v>247.82397943100682</v>
      </c>
      <c r="B19" s="296">
        <v>2027</v>
      </c>
      <c r="C19" s="297">
        <f t="shared" si="1"/>
        <v>26.582397943100684</v>
      </c>
      <c r="D19" s="293" t="s">
        <v>152</v>
      </c>
      <c r="E19" s="298">
        <f t="shared" si="0"/>
        <v>73.839994286390791</v>
      </c>
      <c r="F19" s="293" t="s">
        <v>282</v>
      </c>
      <c r="G19" s="293" t="s">
        <v>484</v>
      </c>
      <c r="H19" s="293" t="s">
        <v>298</v>
      </c>
      <c r="I19" s="293"/>
      <c r="J19" s="293"/>
      <c r="K19" s="293"/>
      <c r="L19" s="293"/>
      <c r="M19" s="293"/>
      <c r="N19" s="293"/>
      <c r="O19" s="293"/>
      <c r="P19" s="293"/>
      <c r="Q19" s="293"/>
      <c r="R19" s="293"/>
      <c r="S19" s="293"/>
      <c r="T19" s="293"/>
      <c r="U19" s="293"/>
      <c r="V19" s="293"/>
      <c r="W19" s="293"/>
      <c r="X19" s="293"/>
      <c r="Y19" s="293"/>
      <c r="Z19" s="293"/>
    </row>
    <row r="20" spans="1:26">
      <c r="A20" s="299">
        <f t="shared" si="2"/>
        <v>230.20403457214701</v>
      </c>
      <c r="B20" s="296">
        <v>2028</v>
      </c>
      <c r="C20" s="297">
        <f t="shared" si="1"/>
        <v>24.820403457214702</v>
      </c>
      <c r="D20" s="293" t="s">
        <v>152</v>
      </c>
      <c r="E20" s="298">
        <f t="shared" si="0"/>
        <v>68.945565158929725</v>
      </c>
      <c r="F20" s="293" t="s">
        <v>282</v>
      </c>
      <c r="G20" s="293" t="s">
        <v>484</v>
      </c>
      <c r="H20" s="293" t="s">
        <v>298</v>
      </c>
      <c r="I20" s="293"/>
      <c r="J20" s="293"/>
      <c r="K20" s="293"/>
      <c r="L20" s="293"/>
      <c r="M20" s="293"/>
      <c r="N20" s="293"/>
      <c r="O20" s="293"/>
      <c r="P20" s="293"/>
      <c r="Q20" s="293"/>
      <c r="R20" s="293"/>
      <c r="S20" s="293"/>
      <c r="T20" s="293"/>
      <c r="U20" s="293"/>
      <c r="V20" s="293"/>
      <c r="W20" s="293"/>
      <c r="X20" s="293"/>
      <c r="Y20" s="293"/>
      <c r="Z20" s="293"/>
    </row>
    <row r="21" spans="1:26">
      <c r="A21" s="299">
        <f t="shared" si="2"/>
        <v>214.84434461566082</v>
      </c>
      <c r="B21" s="296">
        <v>2029</v>
      </c>
      <c r="C21" s="297">
        <f t="shared" si="1"/>
        <v>23.284434461566082</v>
      </c>
      <c r="D21" s="293" t="s">
        <v>152</v>
      </c>
      <c r="E21" s="298">
        <f t="shared" si="0"/>
        <v>64.678984615461346</v>
      </c>
      <c r="F21" s="293" t="s">
        <v>282</v>
      </c>
      <c r="G21" s="293" t="s">
        <v>484</v>
      </c>
      <c r="H21" s="293" t="s">
        <v>298</v>
      </c>
      <c r="I21" s="293"/>
      <c r="J21" s="293"/>
      <c r="K21" s="293"/>
      <c r="L21" s="293"/>
      <c r="M21" s="293"/>
      <c r="N21" s="293"/>
      <c r="O21" s="293"/>
      <c r="P21" s="293"/>
      <c r="Q21" s="293"/>
      <c r="R21" s="293"/>
      <c r="S21" s="293"/>
      <c r="T21" s="293"/>
      <c r="U21" s="293"/>
      <c r="V21" s="293"/>
      <c r="W21" s="293"/>
      <c r="X21" s="293"/>
      <c r="Y21" s="293"/>
      <c r="Z21" s="293"/>
    </row>
    <row r="22" spans="1:26">
      <c r="A22" s="299">
        <f t="shared" si="2"/>
        <v>200.15218043407771</v>
      </c>
      <c r="B22" s="296">
        <v>2030</v>
      </c>
      <c r="C22" s="297">
        <f t="shared" si="1"/>
        <v>21.815218043407771</v>
      </c>
      <c r="D22" s="293" t="s">
        <v>152</v>
      </c>
      <c r="E22" s="298">
        <f t="shared" si="0"/>
        <v>60.597827898354929</v>
      </c>
      <c r="F22" s="293" t="s">
        <v>282</v>
      </c>
      <c r="G22" s="293" t="s">
        <v>484</v>
      </c>
      <c r="H22" s="293" t="s">
        <v>298</v>
      </c>
      <c r="I22" s="293"/>
      <c r="J22" s="293"/>
      <c r="K22" s="293"/>
      <c r="L22" s="293"/>
      <c r="M22" s="293"/>
      <c r="N22" s="293"/>
      <c r="O22" s="293"/>
      <c r="P22" s="293"/>
      <c r="Q22" s="293"/>
      <c r="R22" s="293"/>
      <c r="S22" s="293"/>
      <c r="T22" s="293"/>
      <c r="U22" s="293"/>
      <c r="V22" s="293"/>
      <c r="W22" s="293"/>
      <c r="X22" s="293"/>
      <c r="Y22" s="293"/>
      <c r="Z22" s="293"/>
    </row>
    <row r="23" spans="1:26">
      <c r="B23" s="296">
        <v>2010</v>
      </c>
      <c r="C23" s="297">
        <f>((25+1.8)/3)*2+((10+2.3)/3)*1</f>
        <v>21.966666666666669</v>
      </c>
      <c r="D23" s="293" t="s">
        <v>152</v>
      </c>
      <c r="E23" s="298">
        <f t="shared" si="0"/>
        <v>61.018518518518519</v>
      </c>
      <c r="F23" s="293" t="s">
        <v>282</v>
      </c>
      <c r="G23" s="293" t="s">
        <v>485</v>
      </c>
      <c r="H23" s="293" t="s">
        <v>267</v>
      </c>
      <c r="I23" s="293"/>
      <c r="J23" s="293"/>
      <c r="K23" s="293"/>
      <c r="L23" s="293"/>
      <c r="M23" s="293"/>
      <c r="N23" s="293"/>
      <c r="O23" s="293"/>
      <c r="P23" s="293"/>
      <c r="Q23" s="293"/>
      <c r="R23" s="293"/>
      <c r="S23" s="293" t="s">
        <v>266</v>
      </c>
      <c r="T23" s="293"/>
      <c r="U23" s="293"/>
      <c r="V23" s="293"/>
      <c r="W23" s="293"/>
      <c r="X23" s="293"/>
      <c r="Y23" s="293"/>
      <c r="Z23" s="293"/>
    </row>
    <row r="24" spans="1:26">
      <c r="A24" s="299">
        <f>580-W121</f>
        <v>409.78448904018677</v>
      </c>
      <c r="B24" s="296">
        <v>2015</v>
      </c>
      <c r="C24" s="297">
        <f t="shared" ref="C24:C37" si="3">IF(A24/10&gt;25,((1.8)+25), 1.8+25-(25-A24/10))</f>
        <v>26.8</v>
      </c>
      <c r="D24" s="293" t="s">
        <v>152</v>
      </c>
      <c r="E24" s="298">
        <f t="shared" si="0"/>
        <v>74.444444444444457</v>
      </c>
      <c r="F24" s="293" t="s">
        <v>282</v>
      </c>
      <c r="G24" s="293" t="s">
        <v>485</v>
      </c>
      <c r="H24" s="293" t="s">
        <v>298</v>
      </c>
      <c r="I24" s="293"/>
      <c r="J24" s="293"/>
      <c r="K24" s="293"/>
      <c r="L24" s="293"/>
      <c r="M24" s="293"/>
      <c r="N24" s="293"/>
      <c r="O24" s="293"/>
      <c r="P24" s="293"/>
      <c r="Q24" s="293"/>
      <c r="R24" s="293"/>
      <c r="S24" s="293"/>
      <c r="T24" s="293"/>
      <c r="U24" s="293"/>
      <c r="V24" s="293"/>
      <c r="W24" s="293"/>
      <c r="X24" s="293"/>
      <c r="Y24" s="293"/>
      <c r="Z24" s="293"/>
    </row>
    <row r="25" spans="1:26">
      <c r="A25" s="299">
        <f t="shared" ref="A25:A37" si="4">580-W124</f>
        <v>399.12298354010477</v>
      </c>
      <c r="B25" s="296">
        <v>2018</v>
      </c>
      <c r="C25" s="297">
        <f t="shared" si="3"/>
        <v>26.8</v>
      </c>
      <c r="D25" s="293" t="s">
        <v>152</v>
      </c>
      <c r="E25" s="298">
        <f t="shared" si="0"/>
        <v>74.444444444444457</v>
      </c>
      <c r="F25" s="293" t="s">
        <v>282</v>
      </c>
      <c r="G25" s="293" t="s">
        <v>485</v>
      </c>
      <c r="H25" s="293" t="s">
        <v>298</v>
      </c>
      <c r="I25" s="293"/>
      <c r="J25" s="293"/>
      <c r="K25" s="293"/>
      <c r="L25" s="293"/>
      <c r="M25" s="293"/>
      <c r="N25" s="293"/>
      <c r="O25" s="293"/>
      <c r="P25" s="293"/>
      <c r="Q25" s="293"/>
      <c r="R25" s="293"/>
      <c r="S25" s="293"/>
      <c r="T25" s="293"/>
      <c r="U25" s="293"/>
      <c r="V25" s="293"/>
      <c r="W25" s="293"/>
      <c r="X25" s="293"/>
      <c r="Y25" s="293"/>
      <c r="Z25" s="293"/>
    </row>
    <row r="26" spans="1:26">
      <c r="A26" s="299">
        <f t="shared" si="4"/>
        <v>395.62377024758695</v>
      </c>
      <c r="B26" s="296">
        <v>2019</v>
      </c>
      <c r="C26" s="297">
        <f t="shared" si="3"/>
        <v>26.8</v>
      </c>
      <c r="D26" s="293" t="s">
        <v>152</v>
      </c>
      <c r="E26" s="298">
        <f t="shared" si="0"/>
        <v>74.444444444444457</v>
      </c>
      <c r="F26" s="293" t="s">
        <v>282</v>
      </c>
      <c r="G26" s="293" t="s">
        <v>485</v>
      </c>
      <c r="H26" s="293" t="s">
        <v>298</v>
      </c>
      <c r="I26" s="293"/>
      <c r="J26" s="293"/>
      <c r="K26" s="293"/>
      <c r="L26" s="293"/>
      <c r="M26" s="293"/>
      <c r="N26" s="293"/>
      <c r="O26" s="293"/>
      <c r="P26" s="293"/>
      <c r="Q26" s="293"/>
      <c r="R26" s="293"/>
      <c r="S26" s="293"/>
      <c r="T26" s="293"/>
      <c r="U26" s="293"/>
      <c r="V26" s="293"/>
      <c r="W26" s="293"/>
      <c r="X26" s="293"/>
      <c r="Y26" s="293"/>
      <c r="Z26" s="293"/>
    </row>
    <row r="27" spans="1:26">
      <c r="A27" s="299">
        <f t="shared" si="4"/>
        <v>366.52696739642056</v>
      </c>
      <c r="B27" s="296">
        <v>2020</v>
      </c>
      <c r="C27" s="297">
        <f t="shared" si="3"/>
        <v>26.8</v>
      </c>
      <c r="D27" s="293" t="s">
        <v>152</v>
      </c>
      <c r="E27" s="298">
        <f t="shared" si="0"/>
        <v>74.444444444444457</v>
      </c>
      <c r="F27" s="293" t="s">
        <v>282</v>
      </c>
      <c r="G27" s="293" t="s">
        <v>485</v>
      </c>
      <c r="H27" s="293" t="s">
        <v>298</v>
      </c>
      <c r="I27" s="293"/>
      <c r="J27" s="293"/>
      <c r="K27" s="293"/>
      <c r="L27" s="293"/>
      <c r="M27" s="293"/>
      <c r="N27" s="293"/>
      <c r="O27" s="293"/>
      <c r="P27" s="293"/>
      <c r="Q27" s="293"/>
      <c r="R27" s="293"/>
      <c r="S27" s="293"/>
      <c r="T27" s="293"/>
      <c r="U27" s="293"/>
      <c r="V27" s="293"/>
      <c r="W27" s="293"/>
      <c r="X27" s="293"/>
      <c r="Y27" s="293"/>
      <c r="Z27" s="293"/>
    </row>
    <row r="28" spans="1:26">
      <c r="A28" s="299">
        <f t="shared" si="4"/>
        <v>344.5868123060348</v>
      </c>
      <c r="B28" s="296">
        <v>2021</v>
      </c>
      <c r="C28" s="297">
        <f t="shared" si="3"/>
        <v>26.8</v>
      </c>
      <c r="D28" s="293" t="s">
        <v>152</v>
      </c>
      <c r="E28" s="298">
        <f t="shared" si="0"/>
        <v>74.444444444444457</v>
      </c>
      <c r="F28" s="293" t="s">
        <v>282</v>
      </c>
      <c r="G28" s="293" t="s">
        <v>485</v>
      </c>
      <c r="H28" s="293" t="s">
        <v>267</v>
      </c>
      <c r="I28" s="293"/>
      <c r="J28" s="293"/>
      <c r="K28" s="293"/>
      <c r="L28" s="293"/>
      <c r="M28" s="293"/>
      <c r="N28" s="293"/>
      <c r="O28" s="293"/>
      <c r="P28" s="293"/>
      <c r="Q28" s="293"/>
      <c r="R28" s="293"/>
      <c r="S28" s="293" t="s">
        <v>266</v>
      </c>
      <c r="T28" s="293"/>
      <c r="U28" s="293"/>
      <c r="V28" s="293"/>
      <c r="W28" s="293"/>
      <c r="X28" s="293"/>
      <c r="Y28" s="293"/>
      <c r="Z28" s="293"/>
    </row>
    <row r="29" spans="1:26">
      <c r="A29" s="299">
        <f t="shared" si="4"/>
        <v>329.62455028994515</v>
      </c>
      <c r="B29" s="296">
        <v>2022</v>
      </c>
      <c r="C29" s="297">
        <f t="shared" si="3"/>
        <v>26.8</v>
      </c>
      <c r="D29" s="293" t="s">
        <v>152</v>
      </c>
      <c r="E29" s="298">
        <f t="shared" si="0"/>
        <v>74.444444444444457</v>
      </c>
      <c r="F29" s="293" t="s">
        <v>282</v>
      </c>
      <c r="G29" s="293" t="s">
        <v>485</v>
      </c>
      <c r="H29" s="293" t="s">
        <v>298</v>
      </c>
      <c r="I29" s="293"/>
      <c r="J29" s="293"/>
      <c r="K29" s="293"/>
      <c r="L29" s="293"/>
      <c r="M29" s="293"/>
      <c r="N29" s="293"/>
      <c r="O29" s="293"/>
      <c r="P29" s="293"/>
      <c r="Q29" s="293"/>
      <c r="R29" s="293"/>
      <c r="S29" s="293"/>
      <c r="T29" s="293"/>
      <c r="U29" s="293"/>
      <c r="V29" s="293"/>
      <c r="W29" s="293"/>
      <c r="X29" s="293"/>
      <c r="Y29" s="293"/>
      <c r="Z29" s="293"/>
    </row>
    <row r="30" spans="1:26">
      <c r="A30" s="299">
        <f t="shared" si="4"/>
        <v>310.51751834041534</v>
      </c>
      <c r="B30" s="296">
        <v>2023</v>
      </c>
      <c r="C30" s="297">
        <f t="shared" si="3"/>
        <v>26.8</v>
      </c>
      <c r="D30" s="293" t="s">
        <v>152</v>
      </c>
      <c r="E30" s="298">
        <f t="shared" si="0"/>
        <v>74.444444444444457</v>
      </c>
      <c r="F30" s="293" t="s">
        <v>282</v>
      </c>
      <c r="G30" s="293" t="s">
        <v>485</v>
      </c>
      <c r="H30" s="293" t="s">
        <v>298</v>
      </c>
      <c r="I30" s="293"/>
      <c r="J30" s="293"/>
      <c r="K30" s="293"/>
      <c r="L30" s="293"/>
      <c r="M30" s="293"/>
      <c r="N30" s="293"/>
      <c r="O30" s="293"/>
      <c r="P30" s="293"/>
      <c r="Q30" s="293"/>
      <c r="R30" s="293"/>
      <c r="S30" s="293"/>
      <c r="T30" s="293"/>
      <c r="U30" s="293"/>
      <c r="V30" s="293"/>
      <c r="W30" s="293"/>
      <c r="X30" s="293"/>
      <c r="Y30" s="293"/>
      <c r="Z30" s="293"/>
    </row>
    <row r="31" spans="1:26">
      <c r="A31" s="299">
        <f t="shared" si="4"/>
        <v>301.82032806676216</v>
      </c>
      <c r="B31" s="296">
        <v>2024</v>
      </c>
      <c r="C31" s="297">
        <f t="shared" si="3"/>
        <v>26.8</v>
      </c>
      <c r="D31" s="293" t="s">
        <v>152</v>
      </c>
      <c r="E31" s="298">
        <f t="shared" si="0"/>
        <v>74.444444444444457</v>
      </c>
      <c r="F31" s="293" t="s">
        <v>282</v>
      </c>
      <c r="G31" s="293" t="s">
        <v>485</v>
      </c>
      <c r="H31" s="293" t="s">
        <v>298</v>
      </c>
      <c r="I31" s="293"/>
      <c r="J31" s="293"/>
      <c r="K31" s="293"/>
      <c r="L31" s="293"/>
      <c r="M31" s="293"/>
      <c r="N31" s="293"/>
      <c r="O31" s="293"/>
      <c r="P31" s="293"/>
      <c r="Q31" s="293"/>
      <c r="R31" s="293"/>
      <c r="S31" s="293"/>
      <c r="T31" s="293"/>
      <c r="U31" s="293"/>
      <c r="V31" s="293"/>
      <c r="W31" s="293"/>
      <c r="X31" s="293"/>
      <c r="Y31" s="293"/>
      <c r="Z31" s="293"/>
    </row>
    <row r="32" spans="1:26">
      <c r="A32" s="299">
        <f t="shared" si="4"/>
        <v>269.50437080701579</v>
      </c>
      <c r="B32" s="296">
        <v>2025</v>
      </c>
      <c r="C32" s="297">
        <f t="shared" si="3"/>
        <v>26.8</v>
      </c>
      <c r="D32" s="293" t="s">
        <v>152</v>
      </c>
      <c r="E32" s="298">
        <f t="shared" si="0"/>
        <v>74.444444444444457</v>
      </c>
      <c r="F32" s="293" t="s">
        <v>282</v>
      </c>
      <c r="G32" s="293" t="s">
        <v>485</v>
      </c>
      <c r="H32" s="293" t="s">
        <v>298</v>
      </c>
      <c r="I32" s="293"/>
      <c r="J32" s="293"/>
      <c r="K32" s="293"/>
      <c r="L32" s="293"/>
      <c r="M32" s="293"/>
      <c r="N32" s="293"/>
      <c r="O32" s="293"/>
      <c r="P32" s="293"/>
      <c r="Q32" s="293"/>
      <c r="R32" s="293"/>
      <c r="S32" s="293"/>
      <c r="T32" s="293"/>
      <c r="U32" s="293"/>
      <c r="V32" s="293"/>
      <c r="W32" s="293"/>
      <c r="X32" s="293"/>
      <c r="Y32" s="293"/>
      <c r="Z32" s="293"/>
    </row>
    <row r="33" spans="1:26">
      <c r="A33" s="299">
        <f t="shared" si="4"/>
        <v>257.18571081766788</v>
      </c>
      <c r="B33" s="296">
        <v>2026</v>
      </c>
      <c r="C33" s="297">
        <f t="shared" si="3"/>
        <v>26.8</v>
      </c>
      <c r="D33" s="293" t="s">
        <v>152</v>
      </c>
      <c r="E33" s="298">
        <f t="shared" si="0"/>
        <v>74.444444444444457</v>
      </c>
      <c r="F33" s="293" t="s">
        <v>282</v>
      </c>
      <c r="G33" s="293" t="s">
        <v>485</v>
      </c>
      <c r="H33" s="293" t="s">
        <v>267</v>
      </c>
      <c r="I33" s="293"/>
      <c r="J33" s="293"/>
      <c r="K33" s="293"/>
      <c r="L33" s="293"/>
      <c r="M33" s="293"/>
      <c r="N33" s="293"/>
      <c r="O33" s="293"/>
      <c r="P33" s="293"/>
      <c r="Q33" s="293"/>
      <c r="R33" s="293"/>
      <c r="S33" s="293" t="s">
        <v>266</v>
      </c>
      <c r="T33" s="293"/>
      <c r="U33" s="293"/>
      <c r="V33" s="293"/>
      <c r="W33" s="293"/>
      <c r="X33" s="293"/>
      <c r="Y33" s="293"/>
      <c r="Z33" s="293"/>
    </row>
    <row r="34" spans="1:26">
      <c r="A34" s="299">
        <f t="shared" si="4"/>
        <v>244.54875913170366</v>
      </c>
      <c r="B34" s="296">
        <v>2027</v>
      </c>
      <c r="C34" s="297">
        <f t="shared" si="3"/>
        <v>26.254875913170366</v>
      </c>
      <c r="D34" s="293" t="s">
        <v>152</v>
      </c>
      <c r="E34" s="298">
        <f t="shared" si="0"/>
        <v>72.930210869917687</v>
      </c>
      <c r="F34" s="293" t="s">
        <v>282</v>
      </c>
      <c r="G34" s="293" t="s">
        <v>485</v>
      </c>
      <c r="H34" s="293" t="s">
        <v>298</v>
      </c>
      <c r="I34" s="293"/>
      <c r="J34" s="293"/>
      <c r="K34" s="293"/>
      <c r="L34" s="293"/>
      <c r="M34" s="293"/>
      <c r="N34" s="293"/>
      <c r="O34" s="293"/>
      <c r="P34" s="293"/>
      <c r="Q34" s="293"/>
      <c r="R34" s="293"/>
      <c r="S34" s="293"/>
      <c r="T34" s="293"/>
      <c r="U34" s="293"/>
      <c r="V34" s="293"/>
      <c r="W34" s="293"/>
      <c r="X34" s="293"/>
      <c r="Y34" s="293"/>
      <c r="Z34" s="293"/>
    </row>
    <row r="35" spans="1:26">
      <c r="A35" s="299">
        <f t="shared" si="4"/>
        <v>229.2722616719081</v>
      </c>
      <c r="B35" s="296">
        <v>2028</v>
      </c>
      <c r="C35" s="297">
        <f t="shared" si="3"/>
        <v>24.72722616719081</v>
      </c>
      <c r="D35" s="293" t="s">
        <v>152</v>
      </c>
      <c r="E35" s="298">
        <f t="shared" si="0"/>
        <v>68.686739353307814</v>
      </c>
      <c r="F35" s="293" t="s">
        <v>282</v>
      </c>
      <c r="G35" s="293" t="s">
        <v>485</v>
      </c>
      <c r="H35" s="293" t="s">
        <v>298</v>
      </c>
      <c r="I35" s="293"/>
      <c r="J35" s="293"/>
      <c r="K35" s="293"/>
      <c r="L35" s="293"/>
      <c r="M35" s="293"/>
      <c r="N35" s="293"/>
      <c r="O35" s="293"/>
      <c r="P35" s="293"/>
      <c r="Q35" s="293"/>
      <c r="R35" s="293"/>
      <c r="S35" s="293"/>
      <c r="T35" s="293"/>
      <c r="U35" s="293"/>
      <c r="V35" s="293"/>
      <c r="W35" s="293"/>
      <c r="X35" s="293"/>
      <c r="Y35" s="293"/>
      <c r="Z35" s="293"/>
    </row>
    <row r="36" spans="1:26">
      <c r="A36" s="299">
        <f t="shared" si="4"/>
        <v>215.84854446160614</v>
      </c>
      <c r="B36" s="296">
        <v>2029</v>
      </c>
      <c r="C36" s="297">
        <f t="shared" si="3"/>
        <v>23.384854446160613</v>
      </c>
      <c r="D36" s="293" t="s">
        <v>152</v>
      </c>
      <c r="E36" s="298">
        <f t="shared" si="0"/>
        <v>64.957929017112818</v>
      </c>
      <c r="F36" s="293" t="s">
        <v>282</v>
      </c>
      <c r="G36" s="293" t="s">
        <v>485</v>
      </c>
      <c r="H36" s="293" t="s">
        <v>298</v>
      </c>
      <c r="I36" s="293"/>
      <c r="J36" s="293"/>
      <c r="K36" s="293"/>
      <c r="L36" s="293"/>
      <c r="M36" s="293"/>
      <c r="N36" s="293"/>
      <c r="O36" s="293"/>
      <c r="P36" s="293"/>
      <c r="Q36" s="293"/>
      <c r="R36" s="293"/>
      <c r="S36" s="293"/>
      <c r="T36" s="293"/>
      <c r="U36" s="293"/>
      <c r="V36" s="293"/>
      <c r="W36" s="293"/>
      <c r="X36" s="293"/>
      <c r="Y36" s="293"/>
      <c r="Z36" s="293"/>
    </row>
    <row r="37" spans="1:26">
      <c r="A37" s="299">
        <f t="shared" si="4"/>
        <v>201.87284510758343</v>
      </c>
      <c r="B37" s="296">
        <v>2030</v>
      </c>
      <c r="C37" s="297">
        <f t="shared" si="3"/>
        <v>21.987284510758343</v>
      </c>
      <c r="D37" s="293" t="s">
        <v>152</v>
      </c>
      <c r="E37" s="298">
        <f t="shared" si="0"/>
        <v>61.075790307662061</v>
      </c>
      <c r="F37" s="293" t="s">
        <v>282</v>
      </c>
      <c r="G37" s="293" t="s">
        <v>485</v>
      </c>
      <c r="H37" s="293" t="s">
        <v>298</v>
      </c>
      <c r="I37" s="293"/>
      <c r="J37" s="293"/>
      <c r="K37" s="293"/>
      <c r="L37" s="293"/>
      <c r="M37" s="293"/>
      <c r="N37" s="293"/>
      <c r="O37" s="293"/>
      <c r="P37" s="293"/>
      <c r="Q37" s="293"/>
      <c r="R37" s="293"/>
      <c r="S37" s="293"/>
      <c r="T37" s="293"/>
      <c r="U37" s="293"/>
      <c r="V37" s="293"/>
      <c r="W37" s="293"/>
      <c r="X37" s="293"/>
      <c r="Y37" s="293"/>
      <c r="Z37" s="293"/>
    </row>
    <row r="38" spans="1:26">
      <c r="A38" s="299"/>
      <c r="B38" s="296">
        <v>2018</v>
      </c>
      <c r="C38" s="297">
        <v>13</v>
      </c>
      <c r="D38" s="293" t="s">
        <v>152</v>
      </c>
      <c r="E38" s="298">
        <f t="shared" si="0"/>
        <v>36.111111111111114</v>
      </c>
      <c r="F38" s="293" t="s">
        <v>282</v>
      </c>
      <c r="G38" s="293" t="s">
        <v>259</v>
      </c>
      <c r="H38" s="293" t="s">
        <v>486</v>
      </c>
      <c r="I38" s="293"/>
      <c r="J38" s="293"/>
      <c r="K38" s="293"/>
      <c r="L38" s="293"/>
      <c r="M38" s="293"/>
      <c r="N38" s="293"/>
      <c r="O38" s="293"/>
      <c r="P38" s="293"/>
      <c r="Q38" s="293"/>
      <c r="R38" s="293"/>
      <c r="S38" s="293"/>
      <c r="T38" s="293"/>
      <c r="U38" s="293"/>
      <c r="V38" s="293"/>
      <c r="W38" s="293"/>
      <c r="X38" s="293"/>
      <c r="Y38" s="293"/>
      <c r="Z38" s="293"/>
    </row>
    <row r="39" spans="1:26">
      <c r="A39" s="299"/>
      <c r="B39" s="296">
        <v>2019</v>
      </c>
      <c r="C39" s="297">
        <v>13</v>
      </c>
      <c r="D39" s="293" t="s">
        <v>152</v>
      </c>
      <c r="E39" s="298">
        <f t="shared" si="0"/>
        <v>36.111111111111114</v>
      </c>
      <c r="F39" s="293" t="s">
        <v>282</v>
      </c>
      <c r="G39" s="293" t="s">
        <v>259</v>
      </c>
      <c r="H39" s="293" t="s">
        <v>486</v>
      </c>
      <c r="I39" s="293"/>
      <c r="J39" s="293"/>
      <c r="K39" s="293"/>
      <c r="L39" s="293"/>
      <c r="M39" s="293"/>
      <c r="N39" s="293"/>
      <c r="O39" s="293"/>
      <c r="P39" s="293"/>
      <c r="Q39" s="293"/>
      <c r="R39" s="293"/>
      <c r="S39" s="293"/>
      <c r="T39" s="293"/>
      <c r="U39" s="293"/>
      <c r="V39" s="293"/>
      <c r="W39" s="293"/>
      <c r="X39" s="293"/>
      <c r="Y39" s="293"/>
      <c r="Z39" s="293"/>
    </row>
    <row r="40" spans="1:26">
      <c r="A40" s="299"/>
      <c r="B40" s="296">
        <v>2020</v>
      </c>
      <c r="C40" s="297">
        <v>0</v>
      </c>
      <c r="D40" s="293" t="s">
        <v>152</v>
      </c>
      <c r="E40" s="298">
        <f t="shared" si="0"/>
        <v>0</v>
      </c>
      <c r="F40" s="293" t="s">
        <v>282</v>
      </c>
      <c r="G40" s="293" t="s">
        <v>259</v>
      </c>
      <c r="H40" s="293" t="s">
        <v>486</v>
      </c>
      <c r="I40" s="293"/>
      <c r="J40" s="293"/>
      <c r="K40" s="293"/>
      <c r="L40" s="293"/>
      <c r="M40" s="293"/>
      <c r="N40" s="293"/>
      <c r="O40" s="293"/>
      <c r="P40" s="293"/>
      <c r="Q40" s="293"/>
      <c r="R40" s="293"/>
      <c r="S40" s="293"/>
      <c r="T40" s="293"/>
      <c r="U40" s="293"/>
      <c r="V40" s="293"/>
      <c r="W40" s="293"/>
      <c r="X40" s="293"/>
      <c r="Y40" s="293"/>
      <c r="Z40" s="293"/>
    </row>
    <row r="41" spans="1:26">
      <c r="A41" s="299"/>
      <c r="B41" s="300"/>
      <c r="C41" s="301"/>
      <c r="D41" s="302"/>
      <c r="E41" s="303"/>
      <c r="F41" s="293"/>
      <c r="G41" s="302"/>
      <c r="H41" s="302"/>
      <c r="I41" s="302"/>
      <c r="J41" s="302"/>
      <c r="K41" s="302"/>
      <c r="L41" s="302"/>
      <c r="M41" s="302"/>
      <c r="N41" s="302"/>
      <c r="O41" s="302"/>
      <c r="P41" s="302"/>
      <c r="Q41" s="302"/>
      <c r="R41" s="302"/>
      <c r="S41" s="302"/>
      <c r="T41" s="302"/>
      <c r="U41" s="302"/>
      <c r="V41" s="302"/>
      <c r="W41" s="302"/>
      <c r="X41" s="302"/>
      <c r="Y41" s="302"/>
      <c r="Z41" s="302"/>
    </row>
    <row r="42" spans="1:26">
      <c r="B42" s="296">
        <v>2010</v>
      </c>
      <c r="C42" s="297">
        <f>2*C8</f>
        <v>43.933333333333337</v>
      </c>
      <c r="D42" s="293" t="s">
        <v>152</v>
      </c>
      <c r="E42" s="298">
        <f t="shared" ref="E42:E51" si="5">C42/0.0036/100</f>
        <v>122.03703703703704</v>
      </c>
      <c r="F42" s="304" t="s">
        <v>282</v>
      </c>
      <c r="G42" s="293" t="s">
        <v>220</v>
      </c>
      <c r="H42" s="293" t="s">
        <v>299</v>
      </c>
      <c r="I42" s="293"/>
      <c r="J42" s="293"/>
      <c r="K42" s="293"/>
      <c r="L42" s="293"/>
      <c r="M42" s="293"/>
      <c r="N42" s="293"/>
      <c r="O42" s="293"/>
      <c r="P42" s="293"/>
      <c r="Q42" s="293"/>
      <c r="R42" s="293"/>
      <c r="S42" s="293"/>
      <c r="T42" s="293"/>
      <c r="U42" s="293"/>
      <c r="V42" s="293"/>
      <c r="W42" s="293"/>
      <c r="X42" s="293"/>
      <c r="Y42" s="293"/>
      <c r="Z42" s="293"/>
    </row>
    <row r="43" spans="1:26">
      <c r="B43" s="296">
        <v>2012</v>
      </c>
      <c r="C43" s="305">
        <f>105.1-W121/10</f>
        <v>88.078448904018671</v>
      </c>
      <c r="D43" s="293" t="s">
        <v>152</v>
      </c>
      <c r="E43" s="298">
        <f t="shared" si="5"/>
        <v>244.66235806671855</v>
      </c>
      <c r="F43" s="293" t="s">
        <v>282</v>
      </c>
      <c r="G43" s="293" t="s">
        <v>300</v>
      </c>
      <c r="H43" s="293" t="s">
        <v>301</v>
      </c>
      <c r="I43" s="293"/>
      <c r="J43" s="293"/>
      <c r="K43" s="293"/>
      <c r="L43" s="293"/>
      <c r="M43" s="293"/>
      <c r="N43" s="293"/>
      <c r="O43" s="293"/>
      <c r="P43" s="293"/>
      <c r="Q43" s="293"/>
      <c r="R43" s="293"/>
      <c r="S43" s="293"/>
      <c r="T43" s="293"/>
      <c r="U43" s="293"/>
      <c r="V43" s="293"/>
      <c r="W43" s="293"/>
      <c r="X43" s="293"/>
      <c r="Y43" s="293"/>
      <c r="Z43" s="293"/>
    </row>
    <row r="44" spans="1:26">
      <c r="B44" s="296">
        <v>2023</v>
      </c>
      <c r="C44" s="305">
        <f>105.1-W129/10</f>
        <v>78.151751834041534</v>
      </c>
      <c r="D44" s="293" t="s">
        <v>152</v>
      </c>
      <c r="E44" s="298">
        <f t="shared" si="5"/>
        <v>217.08819953900428</v>
      </c>
      <c r="F44" s="293" t="s">
        <v>282</v>
      </c>
      <c r="G44" s="293" t="s">
        <v>300</v>
      </c>
      <c r="H44" s="293" t="s">
        <v>301</v>
      </c>
      <c r="I44" s="293"/>
      <c r="J44" s="293"/>
      <c r="K44" s="293"/>
      <c r="L44" s="293"/>
      <c r="M44" s="293"/>
      <c r="N44" s="293"/>
      <c r="O44" s="293"/>
      <c r="P44" s="293"/>
      <c r="Q44" s="293"/>
      <c r="R44" s="293"/>
      <c r="S44" s="293"/>
      <c r="T44" s="293"/>
      <c r="U44" s="293"/>
      <c r="V44" s="293"/>
      <c r="W44" s="293"/>
      <c r="X44" s="293"/>
      <c r="Y44" s="293"/>
      <c r="Z44" s="293"/>
    </row>
    <row r="45" spans="1:26">
      <c r="B45" s="296">
        <v>2015</v>
      </c>
      <c r="C45" s="297">
        <f>C9</f>
        <v>26.8</v>
      </c>
      <c r="D45" s="293" t="s">
        <v>152</v>
      </c>
      <c r="E45" s="298">
        <f t="shared" si="5"/>
        <v>74.444444444444457</v>
      </c>
      <c r="F45" s="293" t="s">
        <v>282</v>
      </c>
      <c r="G45" s="293" t="s">
        <v>302</v>
      </c>
      <c r="H45" s="293" t="s">
        <v>303</v>
      </c>
      <c r="I45" s="293"/>
      <c r="J45" s="293"/>
      <c r="K45" s="293"/>
      <c r="L45" s="293"/>
      <c r="M45" s="293"/>
      <c r="N45" s="293"/>
      <c r="O45" s="293"/>
      <c r="P45" s="293"/>
      <c r="Q45" s="293"/>
      <c r="R45" s="293"/>
      <c r="S45" s="293"/>
      <c r="T45" s="293"/>
      <c r="U45" s="293"/>
      <c r="V45" s="293"/>
      <c r="W45" s="293"/>
      <c r="X45" s="293"/>
      <c r="Y45" s="293"/>
      <c r="Z45" s="293"/>
    </row>
    <row r="46" spans="1:26">
      <c r="B46" s="296">
        <v>2020</v>
      </c>
      <c r="C46" s="305">
        <f>77-V126/10</f>
        <v>54.80373699544279</v>
      </c>
      <c r="D46" s="293" t="s">
        <v>152</v>
      </c>
      <c r="E46" s="298">
        <f t="shared" si="5"/>
        <v>152.23260276511886</v>
      </c>
      <c r="F46" s="293" t="s">
        <v>282</v>
      </c>
      <c r="G46" s="293" t="s">
        <v>304</v>
      </c>
      <c r="H46" s="293" t="s">
        <v>305</v>
      </c>
      <c r="I46" s="293"/>
      <c r="J46" s="293"/>
      <c r="K46" s="293"/>
      <c r="L46" s="293"/>
      <c r="M46" s="293"/>
      <c r="N46" s="293"/>
      <c r="O46" s="293"/>
      <c r="P46" s="293"/>
      <c r="Q46" s="293"/>
      <c r="R46" s="293"/>
      <c r="S46" s="293"/>
      <c r="T46" s="293"/>
      <c r="U46" s="293"/>
      <c r="V46" s="293"/>
      <c r="W46" s="293"/>
      <c r="X46" s="293"/>
      <c r="Y46" s="293"/>
      <c r="Z46" s="293"/>
    </row>
    <row r="47" spans="1:26">
      <c r="B47" s="296">
        <v>2031</v>
      </c>
      <c r="C47" s="305">
        <f>77-W136/10</f>
        <v>39.187284510758346</v>
      </c>
      <c r="D47" s="293" t="s">
        <v>152</v>
      </c>
      <c r="E47" s="298">
        <f t="shared" si="5"/>
        <v>108.85356808543986</v>
      </c>
      <c r="F47" s="293" t="s">
        <v>282</v>
      </c>
      <c r="G47" s="293" t="s">
        <v>304</v>
      </c>
      <c r="H47" s="293" t="s">
        <v>305</v>
      </c>
      <c r="I47" s="293"/>
      <c r="J47" s="293"/>
      <c r="K47" s="293"/>
      <c r="L47" s="293"/>
      <c r="M47" s="293"/>
      <c r="N47" s="293"/>
      <c r="O47" s="293"/>
      <c r="P47" s="293"/>
      <c r="Q47" s="293"/>
      <c r="R47" s="293"/>
      <c r="S47" s="293"/>
      <c r="T47" s="293"/>
      <c r="U47" s="293"/>
      <c r="V47" s="293"/>
      <c r="W47" s="293"/>
      <c r="X47" s="293"/>
      <c r="Y47" s="293"/>
      <c r="Z47" s="293"/>
    </row>
    <row r="48" spans="1:26">
      <c r="B48" s="296">
        <v>2020</v>
      </c>
      <c r="C48" s="305">
        <v>37.200000000000003</v>
      </c>
      <c r="D48" s="293" t="s">
        <v>152</v>
      </c>
      <c r="E48" s="298">
        <f t="shared" si="5"/>
        <v>103.33333333333334</v>
      </c>
      <c r="F48" s="293" t="s">
        <v>306</v>
      </c>
      <c r="G48" s="293" t="s">
        <v>307</v>
      </c>
      <c r="H48" s="293" t="s">
        <v>308</v>
      </c>
      <c r="I48" s="293"/>
      <c r="J48" s="293"/>
      <c r="K48" s="293"/>
      <c r="L48" s="293"/>
      <c r="M48" s="293"/>
      <c r="N48" s="293"/>
      <c r="O48" s="293"/>
      <c r="P48" s="293"/>
      <c r="Q48" s="293"/>
      <c r="R48" s="293"/>
      <c r="S48" s="293"/>
      <c r="T48" s="293"/>
      <c r="U48" s="293"/>
      <c r="V48" s="293"/>
      <c r="W48" s="293"/>
      <c r="X48" s="293"/>
      <c r="Y48" s="293"/>
      <c r="Z48" s="293"/>
    </row>
    <row r="49" spans="1:26">
      <c r="B49" s="296">
        <v>2018</v>
      </c>
      <c r="C49" s="297">
        <v>13</v>
      </c>
      <c r="D49" s="293" t="s">
        <v>152</v>
      </c>
      <c r="E49" s="298">
        <f t="shared" si="5"/>
        <v>36.111111111111114</v>
      </c>
      <c r="F49" s="293" t="s">
        <v>282</v>
      </c>
      <c r="G49" s="293" t="s">
        <v>220</v>
      </c>
      <c r="H49" s="293" t="s">
        <v>486</v>
      </c>
      <c r="I49" s="293"/>
      <c r="J49" s="293"/>
      <c r="K49" s="293"/>
      <c r="L49" s="293"/>
      <c r="M49" s="293"/>
      <c r="N49" s="293"/>
      <c r="O49" s="293"/>
      <c r="P49" s="293"/>
      <c r="Q49" s="293"/>
      <c r="R49" s="293"/>
      <c r="S49" s="293"/>
      <c r="T49" s="293"/>
      <c r="U49" s="293"/>
      <c r="V49" s="293"/>
      <c r="W49" s="293"/>
      <c r="X49" s="293"/>
      <c r="Y49" s="293"/>
      <c r="Z49" s="293"/>
    </row>
    <row r="50" spans="1:26">
      <c r="B50" s="296">
        <v>2019</v>
      </c>
      <c r="C50" s="297">
        <v>13</v>
      </c>
      <c r="D50" s="293" t="s">
        <v>152</v>
      </c>
      <c r="E50" s="298">
        <f t="shared" si="5"/>
        <v>36.111111111111114</v>
      </c>
      <c r="F50" s="293" t="s">
        <v>282</v>
      </c>
      <c r="G50" s="293" t="s">
        <v>220</v>
      </c>
      <c r="H50" s="293" t="s">
        <v>486</v>
      </c>
      <c r="I50" s="293"/>
      <c r="J50" s="293"/>
      <c r="K50" s="293"/>
      <c r="L50" s="293"/>
      <c r="M50" s="293"/>
      <c r="N50" s="293"/>
      <c r="O50" s="293"/>
      <c r="P50" s="293"/>
      <c r="Q50" s="293"/>
      <c r="R50" s="293"/>
      <c r="S50" s="293"/>
      <c r="T50" s="293"/>
      <c r="U50" s="293"/>
      <c r="V50" s="293"/>
      <c r="W50" s="293"/>
      <c r="X50" s="293"/>
      <c r="Y50" s="293"/>
      <c r="Z50" s="293"/>
    </row>
    <row r="51" spans="1:26">
      <c r="B51" s="296">
        <v>2020</v>
      </c>
      <c r="C51" s="297">
        <v>0</v>
      </c>
      <c r="D51" s="293" t="s">
        <v>152</v>
      </c>
      <c r="E51" s="298">
        <f t="shared" si="5"/>
        <v>0</v>
      </c>
      <c r="F51" s="293" t="s">
        <v>282</v>
      </c>
      <c r="G51" s="293" t="s">
        <v>220</v>
      </c>
      <c r="H51" s="293" t="s">
        <v>486</v>
      </c>
      <c r="I51" s="293"/>
      <c r="J51" s="293"/>
      <c r="K51" s="293"/>
      <c r="L51" s="293"/>
      <c r="M51" s="293"/>
      <c r="N51" s="293"/>
      <c r="O51" s="293"/>
      <c r="P51" s="293"/>
      <c r="Q51" s="293"/>
      <c r="R51" s="293"/>
      <c r="S51" s="293"/>
      <c r="T51" s="293"/>
      <c r="U51" s="293"/>
      <c r="V51" s="293"/>
      <c r="W51" s="293"/>
      <c r="X51" s="293"/>
      <c r="Y51" s="293"/>
      <c r="Z51" s="293"/>
    </row>
    <row r="52" spans="1:26">
      <c r="B52" s="300"/>
      <c r="C52" s="301"/>
      <c r="D52" s="302"/>
      <c r="E52" s="303"/>
      <c r="F52" s="302"/>
      <c r="G52" s="302"/>
      <c r="H52" s="302"/>
      <c r="I52" s="302"/>
      <c r="J52" s="302"/>
      <c r="K52" s="302"/>
      <c r="L52" s="302"/>
      <c r="M52" s="302"/>
      <c r="N52" s="302"/>
      <c r="O52" s="302"/>
      <c r="P52" s="302"/>
      <c r="Q52" s="302"/>
      <c r="R52" s="302"/>
      <c r="S52" s="302"/>
      <c r="T52" s="302"/>
      <c r="U52" s="302"/>
      <c r="V52" s="302"/>
      <c r="W52" s="302"/>
      <c r="X52" s="302"/>
      <c r="Y52" s="302"/>
      <c r="Z52" s="302"/>
    </row>
    <row r="53" spans="1:26">
      <c r="B53" s="296">
        <v>2010</v>
      </c>
      <c r="C53" s="297">
        <f>60-V121/10</f>
        <v>42.48203348517513</v>
      </c>
      <c r="D53" s="293" t="s">
        <v>152</v>
      </c>
      <c r="E53" s="298">
        <f t="shared" ref="E53:E84" si="6">C53/0.0036/100</f>
        <v>118.00564856993093</v>
      </c>
      <c r="F53" s="293" t="s">
        <v>282</v>
      </c>
      <c r="G53" s="293" t="s">
        <v>487</v>
      </c>
      <c r="H53" s="293" t="s">
        <v>273</v>
      </c>
      <c r="I53" s="293"/>
      <c r="J53" s="293"/>
      <c r="K53" s="293"/>
      <c r="L53" s="293"/>
      <c r="M53" s="293"/>
      <c r="N53" s="293"/>
      <c r="O53" s="293"/>
      <c r="P53" s="293"/>
      <c r="Q53" s="293"/>
      <c r="R53" s="293"/>
      <c r="S53" s="293" t="s">
        <v>266</v>
      </c>
      <c r="T53" s="293"/>
      <c r="U53" s="293"/>
      <c r="V53" s="293"/>
      <c r="W53" s="293"/>
      <c r="X53" s="293"/>
      <c r="Y53" s="293"/>
      <c r="Z53" s="293"/>
    </row>
    <row r="54" spans="1:26">
      <c r="A54" s="299"/>
      <c r="B54" s="296">
        <v>2015</v>
      </c>
      <c r="C54" s="297">
        <f>60-V121/10</f>
        <v>42.48203348517513</v>
      </c>
      <c r="D54" s="293" t="s">
        <v>152</v>
      </c>
      <c r="E54" s="298">
        <f t="shared" si="6"/>
        <v>118.00564856993093</v>
      </c>
      <c r="F54" s="293" t="s">
        <v>282</v>
      </c>
      <c r="G54" s="293" t="s">
        <v>487</v>
      </c>
      <c r="H54" s="293" t="s">
        <v>273</v>
      </c>
      <c r="I54" s="293"/>
      <c r="J54" s="293"/>
      <c r="K54" s="293"/>
      <c r="L54" s="293"/>
      <c r="M54" s="293"/>
      <c r="N54" s="293"/>
      <c r="O54" s="293"/>
      <c r="P54" s="293"/>
      <c r="Q54" s="293"/>
      <c r="R54" s="293"/>
      <c r="S54" s="293"/>
      <c r="T54" s="293"/>
      <c r="U54" s="293"/>
      <c r="V54" s="293"/>
      <c r="W54" s="293"/>
      <c r="X54" s="293"/>
      <c r="Y54" s="293"/>
      <c r="Z54" s="293"/>
    </row>
    <row r="55" spans="1:26">
      <c r="A55" s="299"/>
      <c r="B55" s="296">
        <v>2018</v>
      </c>
      <c r="C55" s="297">
        <f t="shared" ref="C55:C67" si="7">60-V124/10</f>
        <v>41.109937560997167</v>
      </c>
      <c r="D55" s="293" t="s">
        <v>152</v>
      </c>
      <c r="E55" s="298">
        <f t="shared" si="6"/>
        <v>114.19427100276991</v>
      </c>
      <c r="F55" s="293" t="s">
        <v>282</v>
      </c>
      <c r="G55" s="293" t="s">
        <v>487</v>
      </c>
      <c r="H55" s="293" t="s">
        <v>273</v>
      </c>
      <c r="I55" s="293"/>
      <c r="J55" s="293"/>
      <c r="K55" s="293"/>
      <c r="L55" s="293"/>
      <c r="M55" s="293"/>
      <c r="N55" s="293"/>
      <c r="O55" s="293"/>
      <c r="P55" s="293"/>
      <c r="Q55" s="293"/>
      <c r="R55" s="293"/>
      <c r="S55" s="293"/>
      <c r="T55" s="293"/>
      <c r="U55" s="293"/>
      <c r="V55" s="293"/>
      <c r="W55" s="293"/>
      <c r="X55" s="293"/>
      <c r="Y55" s="293"/>
      <c r="Z55" s="293"/>
    </row>
    <row r="56" spans="1:26">
      <c r="A56" s="299"/>
      <c r="B56" s="296">
        <v>2019</v>
      </c>
      <c r="C56" s="297">
        <f t="shared" si="7"/>
        <v>39.871112188688535</v>
      </c>
      <c r="D56" s="293" t="s">
        <v>152</v>
      </c>
      <c r="E56" s="298">
        <f t="shared" si="6"/>
        <v>110.75308941302372</v>
      </c>
      <c r="F56" s="293" t="s">
        <v>282</v>
      </c>
      <c r="G56" s="293" t="s">
        <v>487</v>
      </c>
      <c r="H56" s="293" t="s">
        <v>273</v>
      </c>
      <c r="I56" s="293"/>
      <c r="J56" s="293"/>
      <c r="K56" s="293"/>
      <c r="L56" s="293"/>
      <c r="M56" s="293"/>
      <c r="N56" s="293"/>
      <c r="O56" s="293"/>
      <c r="P56" s="293"/>
      <c r="Q56" s="293"/>
      <c r="R56" s="293"/>
      <c r="S56" s="293"/>
      <c r="T56" s="293"/>
      <c r="U56" s="293"/>
      <c r="V56" s="293"/>
      <c r="W56" s="293"/>
      <c r="X56" s="293"/>
      <c r="Y56" s="293"/>
      <c r="Z56" s="293"/>
    </row>
    <row r="57" spans="1:26">
      <c r="A57" s="299"/>
      <c r="B57" s="296">
        <v>2020</v>
      </c>
      <c r="C57" s="297">
        <f t="shared" si="7"/>
        <v>37.80373699544279</v>
      </c>
      <c r="D57" s="293" t="s">
        <v>152</v>
      </c>
      <c r="E57" s="298">
        <f t="shared" si="6"/>
        <v>105.01038054289664</v>
      </c>
      <c r="F57" s="293" t="s">
        <v>282</v>
      </c>
      <c r="G57" s="293" t="s">
        <v>487</v>
      </c>
      <c r="H57" s="293" t="s">
        <v>273</v>
      </c>
      <c r="I57" s="293"/>
      <c r="J57" s="293"/>
      <c r="K57" s="293"/>
      <c r="L57" s="293"/>
      <c r="M57" s="293"/>
      <c r="N57" s="293"/>
      <c r="O57" s="293"/>
      <c r="P57" s="293"/>
      <c r="Q57" s="293"/>
      <c r="R57" s="293"/>
      <c r="S57" s="293"/>
      <c r="T57" s="293"/>
      <c r="U57" s="293"/>
      <c r="V57" s="293"/>
      <c r="W57" s="293"/>
      <c r="X57" s="293"/>
      <c r="Y57" s="293"/>
      <c r="Z57" s="293"/>
    </row>
    <row r="58" spans="1:26">
      <c r="A58" s="299"/>
      <c r="B58" s="296">
        <v>2021</v>
      </c>
      <c r="C58" s="297">
        <f t="shared" si="7"/>
        <v>35.417061855590703</v>
      </c>
      <c r="D58" s="293" t="s">
        <v>152</v>
      </c>
      <c r="E58" s="298">
        <f t="shared" si="6"/>
        <v>98.380727376640849</v>
      </c>
      <c r="F58" s="293" t="s">
        <v>282</v>
      </c>
      <c r="G58" s="293" t="s">
        <v>487</v>
      </c>
      <c r="H58" s="293" t="s">
        <v>273</v>
      </c>
      <c r="I58" s="293"/>
      <c r="J58" s="293"/>
      <c r="K58" s="293"/>
      <c r="L58" s="293"/>
      <c r="M58" s="293"/>
      <c r="N58" s="293"/>
      <c r="O58" s="293"/>
      <c r="P58" s="293"/>
      <c r="Q58" s="293"/>
      <c r="R58" s="293"/>
      <c r="S58" s="293" t="s">
        <v>266</v>
      </c>
      <c r="T58" s="293"/>
      <c r="U58" s="293"/>
      <c r="V58" s="293"/>
      <c r="W58" s="293"/>
      <c r="X58" s="293"/>
      <c r="Y58" s="293"/>
      <c r="Z58" s="293"/>
    </row>
    <row r="59" spans="1:26">
      <c r="A59" s="299"/>
      <c r="B59" s="296">
        <v>2022</v>
      </c>
      <c r="C59" s="297">
        <f t="shared" si="7"/>
        <v>34.070114618449978</v>
      </c>
      <c r="D59" s="293" t="s">
        <v>152</v>
      </c>
      <c r="E59" s="298">
        <f t="shared" si="6"/>
        <v>94.639207273472167</v>
      </c>
      <c r="F59" s="293" t="s">
        <v>282</v>
      </c>
      <c r="G59" s="293" t="s">
        <v>487</v>
      </c>
      <c r="H59" s="293" t="s">
        <v>273</v>
      </c>
      <c r="I59" s="293"/>
      <c r="J59" s="293"/>
      <c r="K59" s="293"/>
      <c r="L59" s="293"/>
      <c r="M59" s="293"/>
      <c r="N59" s="293"/>
      <c r="O59" s="293"/>
      <c r="P59" s="293"/>
      <c r="Q59" s="293"/>
      <c r="R59" s="293"/>
      <c r="S59" s="293"/>
      <c r="T59" s="293"/>
      <c r="U59" s="293"/>
      <c r="V59" s="293"/>
      <c r="W59" s="293"/>
      <c r="X59" s="293"/>
      <c r="Y59" s="293"/>
      <c r="Z59" s="293"/>
    </row>
    <row r="60" spans="1:26">
      <c r="A60" s="299"/>
      <c r="B60" s="296">
        <v>2023</v>
      </c>
      <c r="C60" s="297">
        <f t="shared" si="7"/>
        <v>32.326245074732491</v>
      </c>
      <c r="D60" s="293" t="s">
        <v>152</v>
      </c>
      <c r="E60" s="298">
        <f t="shared" si="6"/>
        <v>89.79512520759026</v>
      </c>
      <c r="F60" s="293" t="s">
        <v>282</v>
      </c>
      <c r="G60" s="293" t="s">
        <v>487</v>
      </c>
      <c r="H60" s="293" t="s">
        <v>273</v>
      </c>
      <c r="I60" s="293"/>
      <c r="J60" s="293"/>
      <c r="K60" s="293"/>
      <c r="L60" s="293"/>
      <c r="M60" s="293"/>
      <c r="N60" s="293"/>
      <c r="O60" s="293"/>
      <c r="P60" s="293"/>
      <c r="Q60" s="293"/>
      <c r="R60" s="293"/>
      <c r="S60" s="293"/>
      <c r="T60" s="293"/>
      <c r="U60" s="293"/>
      <c r="V60" s="293"/>
      <c r="W60" s="293"/>
      <c r="X60" s="293"/>
      <c r="Y60" s="293"/>
      <c r="Z60" s="293"/>
    </row>
    <row r="61" spans="1:26">
      <c r="A61" s="299"/>
      <c r="B61" s="296">
        <v>2024</v>
      </c>
      <c r="C61" s="297">
        <f t="shared" si="7"/>
        <v>31.677049682196831</v>
      </c>
      <c r="D61" s="293" t="s">
        <v>152</v>
      </c>
      <c r="E61" s="298">
        <f t="shared" si="6"/>
        <v>87.991804672768978</v>
      </c>
      <c r="F61" s="293" t="s">
        <v>282</v>
      </c>
      <c r="G61" s="293" t="s">
        <v>487</v>
      </c>
      <c r="H61" s="293" t="s">
        <v>273</v>
      </c>
      <c r="I61" s="293"/>
      <c r="J61" s="293"/>
      <c r="K61" s="293"/>
      <c r="L61" s="293"/>
      <c r="M61" s="293"/>
      <c r="N61" s="293"/>
      <c r="O61" s="293"/>
      <c r="P61" s="293"/>
      <c r="Q61" s="293"/>
      <c r="R61" s="293"/>
      <c r="S61" s="293"/>
      <c r="T61" s="293"/>
      <c r="U61" s="293"/>
      <c r="V61" s="293"/>
      <c r="W61" s="293"/>
      <c r="X61" s="293"/>
      <c r="Y61" s="293"/>
      <c r="Z61" s="293"/>
    </row>
    <row r="62" spans="1:26">
      <c r="A62" s="299"/>
      <c r="B62" s="296">
        <v>2025</v>
      </c>
      <c r="C62" s="297">
        <f t="shared" si="7"/>
        <v>29.232331185383185</v>
      </c>
      <c r="D62" s="293" t="s">
        <v>152</v>
      </c>
      <c r="E62" s="298">
        <f t="shared" si="6"/>
        <v>81.200919959397737</v>
      </c>
      <c r="F62" s="293" t="s">
        <v>282</v>
      </c>
      <c r="G62" s="293" t="s">
        <v>487</v>
      </c>
      <c r="H62" s="293" t="s">
        <v>273</v>
      </c>
      <c r="I62" s="293"/>
      <c r="J62" s="293"/>
      <c r="K62" s="293"/>
      <c r="L62" s="293"/>
      <c r="M62" s="293"/>
      <c r="N62" s="293"/>
      <c r="O62" s="293"/>
      <c r="P62" s="293"/>
      <c r="Q62" s="293"/>
      <c r="R62" s="293"/>
      <c r="S62" s="293"/>
      <c r="T62" s="293"/>
      <c r="U62" s="293"/>
      <c r="V62" s="293"/>
      <c r="W62" s="293"/>
      <c r="X62" s="293"/>
      <c r="Y62" s="293"/>
      <c r="Z62" s="293"/>
    </row>
    <row r="63" spans="1:26">
      <c r="A63" s="299"/>
      <c r="B63" s="296">
        <v>2026</v>
      </c>
      <c r="C63" s="297">
        <f t="shared" si="7"/>
        <v>28.021504459868844</v>
      </c>
      <c r="D63" s="293" t="s">
        <v>152</v>
      </c>
      <c r="E63" s="298">
        <f t="shared" si="6"/>
        <v>77.837512388524559</v>
      </c>
      <c r="F63" s="293" t="s">
        <v>282</v>
      </c>
      <c r="G63" s="293" t="s">
        <v>487</v>
      </c>
      <c r="H63" s="293" t="s">
        <v>273</v>
      </c>
      <c r="I63" s="293"/>
      <c r="J63" s="293"/>
      <c r="K63" s="293"/>
      <c r="L63" s="293"/>
      <c r="M63" s="293"/>
      <c r="N63" s="293"/>
      <c r="O63" s="293"/>
      <c r="P63" s="293"/>
      <c r="Q63" s="293"/>
      <c r="R63" s="293"/>
      <c r="S63" s="293" t="s">
        <v>266</v>
      </c>
      <c r="T63" s="293"/>
      <c r="U63" s="293"/>
      <c r="V63" s="293"/>
      <c r="W63" s="293"/>
      <c r="X63" s="293"/>
      <c r="Y63" s="293"/>
      <c r="Z63" s="293"/>
    </row>
    <row r="64" spans="1:26">
      <c r="A64" s="299"/>
      <c r="B64" s="296">
        <v>2027</v>
      </c>
      <c r="C64" s="297">
        <f t="shared" si="7"/>
        <v>26.782397943100683</v>
      </c>
      <c r="D64" s="293" t="s">
        <v>152</v>
      </c>
      <c r="E64" s="298">
        <f t="shared" si="6"/>
        <v>74.395549841946334</v>
      </c>
      <c r="F64" s="293" t="s">
        <v>282</v>
      </c>
      <c r="G64" s="293" t="s">
        <v>487</v>
      </c>
      <c r="H64" s="293" t="s">
        <v>273</v>
      </c>
      <c r="I64" s="293"/>
      <c r="J64" s="293"/>
      <c r="K64" s="293"/>
      <c r="L64" s="293"/>
      <c r="M64" s="293"/>
      <c r="N64" s="293"/>
      <c r="O64" s="293"/>
      <c r="P64" s="293"/>
      <c r="Q64" s="293"/>
      <c r="R64" s="293"/>
      <c r="S64" s="293"/>
      <c r="T64" s="293"/>
      <c r="U64" s="293"/>
      <c r="V64" s="293"/>
      <c r="W64" s="293"/>
      <c r="X64" s="293"/>
      <c r="Y64" s="293"/>
      <c r="Z64" s="293"/>
    </row>
    <row r="65" spans="1:26">
      <c r="A65" s="299"/>
      <c r="B65" s="296">
        <v>2028</v>
      </c>
      <c r="C65" s="297">
        <f t="shared" si="7"/>
        <v>25.020403457214698</v>
      </c>
      <c r="D65" s="293" t="s">
        <v>152</v>
      </c>
      <c r="E65" s="298">
        <f t="shared" si="6"/>
        <v>69.501120714485282</v>
      </c>
      <c r="F65" s="293" t="s">
        <v>282</v>
      </c>
      <c r="G65" s="293" t="s">
        <v>487</v>
      </c>
      <c r="H65" s="293" t="s">
        <v>273</v>
      </c>
      <c r="I65" s="293"/>
      <c r="J65" s="293"/>
      <c r="K65" s="293"/>
      <c r="L65" s="293"/>
      <c r="M65" s="293"/>
      <c r="N65" s="293"/>
      <c r="O65" s="293"/>
      <c r="P65" s="293"/>
      <c r="Q65" s="293"/>
      <c r="R65" s="293"/>
      <c r="S65" s="293"/>
      <c r="T65" s="293"/>
      <c r="U65" s="293"/>
      <c r="V65" s="293"/>
      <c r="W65" s="293"/>
      <c r="X65" s="293"/>
      <c r="Y65" s="293"/>
      <c r="Z65" s="293"/>
    </row>
    <row r="66" spans="1:26">
      <c r="A66" s="299"/>
      <c r="B66" s="296">
        <v>2029</v>
      </c>
      <c r="C66" s="297">
        <f t="shared" si="7"/>
        <v>23.484434461566082</v>
      </c>
      <c r="D66" s="293" t="s">
        <v>152</v>
      </c>
      <c r="E66" s="298">
        <f t="shared" si="6"/>
        <v>65.234540171016903</v>
      </c>
      <c r="F66" s="293" t="s">
        <v>282</v>
      </c>
      <c r="G66" s="293" t="s">
        <v>487</v>
      </c>
      <c r="H66" s="293" t="s">
        <v>273</v>
      </c>
      <c r="I66" s="293"/>
      <c r="J66" s="293"/>
      <c r="K66" s="293"/>
      <c r="L66" s="293"/>
      <c r="M66" s="293"/>
      <c r="N66" s="293"/>
      <c r="O66" s="293"/>
      <c r="P66" s="293"/>
      <c r="Q66" s="293"/>
      <c r="R66" s="293"/>
      <c r="S66" s="293"/>
      <c r="T66" s="293"/>
      <c r="U66" s="293"/>
      <c r="V66" s="293"/>
      <c r="W66" s="293"/>
      <c r="X66" s="293"/>
      <c r="Y66" s="293"/>
      <c r="Z66" s="293"/>
    </row>
    <row r="67" spans="1:26">
      <c r="A67" s="299"/>
      <c r="B67" s="296">
        <v>2030</v>
      </c>
      <c r="C67" s="297">
        <f t="shared" si="7"/>
        <v>22.015218043407771</v>
      </c>
      <c r="D67" s="293" t="s">
        <v>152</v>
      </c>
      <c r="E67" s="298">
        <f t="shared" si="6"/>
        <v>61.153383453910472</v>
      </c>
      <c r="F67" s="293" t="s">
        <v>282</v>
      </c>
      <c r="G67" s="293" t="s">
        <v>487</v>
      </c>
      <c r="H67" s="293" t="s">
        <v>273</v>
      </c>
      <c r="I67" s="293"/>
      <c r="J67" s="293"/>
      <c r="K67" s="293"/>
      <c r="L67" s="293"/>
      <c r="M67" s="293"/>
      <c r="N67" s="293"/>
      <c r="O67" s="293"/>
      <c r="P67" s="293"/>
      <c r="Q67" s="293"/>
      <c r="R67" s="293"/>
      <c r="S67" s="293"/>
      <c r="T67" s="293"/>
      <c r="U67" s="293"/>
      <c r="V67" s="293"/>
      <c r="W67" s="293"/>
      <c r="X67" s="293"/>
      <c r="Y67" s="293"/>
      <c r="Z67" s="293"/>
    </row>
    <row r="68" spans="1:26">
      <c r="B68" s="296">
        <v>2010</v>
      </c>
      <c r="C68" s="297">
        <f>60-W121/10</f>
        <v>42.978448904018677</v>
      </c>
      <c r="D68" s="293" t="s">
        <v>152</v>
      </c>
      <c r="E68" s="298">
        <f t="shared" si="6"/>
        <v>119.38458028894078</v>
      </c>
      <c r="F68" s="293" t="s">
        <v>282</v>
      </c>
      <c r="G68" s="293" t="s">
        <v>488</v>
      </c>
      <c r="H68" s="293" t="s">
        <v>273</v>
      </c>
      <c r="I68" s="293"/>
      <c r="J68" s="293"/>
      <c r="K68" s="293"/>
      <c r="L68" s="293"/>
      <c r="M68" s="293"/>
      <c r="N68" s="293"/>
      <c r="O68" s="293"/>
      <c r="P68" s="293"/>
      <c r="Q68" s="293"/>
      <c r="R68" s="293"/>
      <c r="S68" s="293" t="s">
        <v>266</v>
      </c>
      <c r="T68" s="293"/>
      <c r="U68" s="293"/>
      <c r="V68" s="293"/>
      <c r="W68" s="293"/>
      <c r="X68" s="293"/>
      <c r="Y68" s="293"/>
      <c r="Z68" s="293"/>
    </row>
    <row r="69" spans="1:26">
      <c r="A69" s="299"/>
      <c r="B69" s="296">
        <v>2015</v>
      </c>
      <c r="C69" s="297">
        <f>60-W121/10</f>
        <v>42.978448904018677</v>
      </c>
      <c r="D69" s="293" t="s">
        <v>152</v>
      </c>
      <c r="E69" s="298">
        <f t="shared" si="6"/>
        <v>119.38458028894078</v>
      </c>
      <c r="F69" s="293" t="s">
        <v>282</v>
      </c>
      <c r="G69" s="293" t="s">
        <v>488</v>
      </c>
      <c r="H69" s="293" t="s">
        <v>273</v>
      </c>
      <c r="I69" s="293"/>
      <c r="J69" s="293"/>
      <c r="K69" s="293"/>
      <c r="L69" s="293"/>
      <c r="M69" s="293"/>
      <c r="N69" s="293"/>
      <c r="O69" s="293"/>
      <c r="P69" s="293"/>
      <c r="Q69" s="293"/>
      <c r="R69" s="293"/>
      <c r="S69" s="293"/>
      <c r="T69" s="293"/>
      <c r="U69" s="293"/>
      <c r="V69" s="293"/>
      <c r="W69" s="293"/>
      <c r="X69" s="293"/>
      <c r="Y69" s="293"/>
      <c r="Z69" s="293"/>
    </row>
    <row r="70" spans="1:26">
      <c r="A70" s="299"/>
      <c r="B70" s="296">
        <v>2018</v>
      </c>
      <c r="C70" s="297">
        <f t="shared" ref="C70:C82" si="8">60-W124/10</f>
        <v>41.912298354010481</v>
      </c>
      <c r="D70" s="293" t="s">
        <v>152</v>
      </c>
      <c r="E70" s="298">
        <f t="shared" si="6"/>
        <v>116.42305098336244</v>
      </c>
      <c r="F70" s="293" t="s">
        <v>282</v>
      </c>
      <c r="G70" s="293" t="s">
        <v>488</v>
      </c>
      <c r="H70" s="293" t="s">
        <v>273</v>
      </c>
      <c r="I70" s="293"/>
      <c r="J70" s="293"/>
      <c r="K70" s="293"/>
      <c r="L70" s="293"/>
      <c r="M70" s="293"/>
      <c r="N70" s="293"/>
      <c r="O70" s="293"/>
      <c r="P70" s="293"/>
      <c r="Q70" s="293"/>
      <c r="R70" s="293"/>
      <c r="S70" s="293"/>
      <c r="T70" s="293"/>
      <c r="U70" s="293"/>
      <c r="V70" s="293"/>
      <c r="W70" s="293"/>
      <c r="X70" s="293"/>
      <c r="Y70" s="293"/>
      <c r="Z70" s="293"/>
    </row>
    <row r="71" spans="1:26">
      <c r="A71" s="299"/>
      <c r="B71" s="296">
        <v>2019</v>
      </c>
      <c r="C71" s="297">
        <f t="shared" si="8"/>
        <v>41.562377024758696</v>
      </c>
      <c r="D71" s="293" t="s">
        <v>152</v>
      </c>
      <c r="E71" s="298">
        <f t="shared" si="6"/>
        <v>115.45104729099637</v>
      </c>
      <c r="F71" s="293" t="s">
        <v>282</v>
      </c>
      <c r="G71" s="293" t="s">
        <v>488</v>
      </c>
      <c r="H71" s="293" t="s">
        <v>273</v>
      </c>
      <c r="I71" s="293"/>
      <c r="J71" s="293"/>
      <c r="K71" s="293"/>
      <c r="L71" s="293"/>
      <c r="M71" s="293"/>
      <c r="N71" s="293"/>
      <c r="O71" s="293"/>
      <c r="P71" s="293"/>
      <c r="Q71" s="293"/>
      <c r="R71" s="293"/>
      <c r="S71" s="293"/>
      <c r="T71" s="293"/>
      <c r="U71" s="293"/>
      <c r="V71" s="293"/>
      <c r="W71" s="293"/>
      <c r="X71" s="293"/>
      <c r="Y71" s="293"/>
      <c r="Z71" s="293"/>
    </row>
    <row r="72" spans="1:26">
      <c r="A72" s="299"/>
      <c r="B72" s="296">
        <v>2020</v>
      </c>
      <c r="C72" s="297">
        <f t="shared" si="8"/>
        <v>38.652696739642053</v>
      </c>
      <c r="D72" s="293" t="s">
        <v>152</v>
      </c>
      <c r="E72" s="298">
        <f t="shared" si="6"/>
        <v>107.36860205456126</v>
      </c>
      <c r="F72" s="293" t="s">
        <v>282</v>
      </c>
      <c r="G72" s="293" t="s">
        <v>488</v>
      </c>
      <c r="H72" s="293" t="s">
        <v>273</v>
      </c>
      <c r="I72" s="293"/>
      <c r="J72" s="293"/>
      <c r="K72" s="293"/>
      <c r="L72" s="293"/>
      <c r="M72" s="293"/>
      <c r="N72" s="293"/>
      <c r="O72" s="293"/>
      <c r="P72" s="293"/>
      <c r="Q72" s="293"/>
      <c r="R72" s="293"/>
      <c r="S72" s="293"/>
      <c r="T72" s="293"/>
      <c r="U72" s="293"/>
      <c r="V72" s="293"/>
      <c r="W72" s="293"/>
      <c r="X72" s="293"/>
      <c r="Y72" s="293"/>
      <c r="Z72" s="293"/>
    </row>
    <row r="73" spans="1:26">
      <c r="A73" s="299"/>
      <c r="B73" s="296">
        <v>2021</v>
      </c>
      <c r="C73" s="297">
        <f t="shared" si="8"/>
        <v>36.458681230603482</v>
      </c>
      <c r="D73" s="293" t="s">
        <v>152</v>
      </c>
      <c r="E73" s="298">
        <f t="shared" si="6"/>
        <v>101.27411452945411</v>
      </c>
      <c r="F73" s="293" t="s">
        <v>282</v>
      </c>
      <c r="G73" s="293" t="s">
        <v>488</v>
      </c>
      <c r="H73" s="293" t="s">
        <v>273</v>
      </c>
      <c r="I73" s="293"/>
      <c r="J73" s="293"/>
      <c r="K73" s="293"/>
      <c r="L73" s="293"/>
      <c r="M73" s="293"/>
      <c r="N73" s="293"/>
      <c r="O73" s="293"/>
      <c r="P73" s="293"/>
      <c r="Q73" s="293"/>
      <c r="R73" s="293"/>
      <c r="S73" s="293" t="s">
        <v>266</v>
      </c>
      <c r="T73" s="293"/>
      <c r="U73" s="293"/>
      <c r="V73" s="293"/>
      <c r="W73" s="293"/>
      <c r="X73" s="293"/>
      <c r="Y73" s="293"/>
      <c r="Z73" s="293"/>
    </row>
    <row r="74" spans="1:26">
      <c r="A74" s="299"/>
      <c r="B74" s="296">
        <v>2022</v>
      </c>
      <c r="C74" s="297">
        <f t="shared" si="8"/>
        <v>34.962455028994512</v>
      </c>
      <c r="D74" s="293" t="s">
        <v>152</v>
      </c>
      <c r="E74" s="298">
        <f t="shared" si="6"/>
        <v>97.117930636095863</v>
      </c>
      <c r="F74" s="293" t="s">
        <v>282</v>
      </c>
      <c r="G74" s="293" t="s">
        <v>488</v>
      </c>
      <c r="H74" s="293" t="s">
        <v>273</v>
      </c>
      <c r="I74" s="293"/>
      <c r="J74" s="293"/>
      <c r="K74" s="293"/>
      <c r="L74" s="293"/>
      <c r="M74" s="293"/>
      <c r="N74" s="293"/>
      <c r="O74" s="293"/>
      <c r="P74" s="293"/>
      <c r="Q74" s="293"/>
      <c r="R74" s="293"/>
      <c r="S74" s="293"/>
      <c r="T74" s="293"/>
      <c r="U74" s="293"/>
      <c r="V74" s="293"/>
      <c r="W74" s="293"/>
      <c r="X74" s="293"/>
      <c r="Y74" s="293"/>
      <c r="Z74" s="293"/>
    </row>
    <row r="75" spans="1:26">
      <c r="A75" s="299"/>
      <c r="B75" s="296">
        <v>2023</v>
      </c>
      <c r="C75" s="297">
        <f t="shared" si="8"/>
        <v>33.051751834041532</v>
      </c>
      <c r="D75" s="293" t="s">
        <v>152</v>
      </c>
      <c r="E75" s="298">
        <f t="shared" si="6"/>
        <v>91.810421761226479</v>
      </c>
      <c r="F75" s="293" t="s">
        <v>282</v>
      </c>
      <c r="G75" s="293" t="s">
        <v>488</v>
      </c>
      <c r="H75" s="293" t="s">
        <v>273</v>
      </c>
      <c r="I75" s="293"/>
      <c r="J75" s="293"/>
      <c r="K75" s="293"/>
      <c r="L75" s="293"/>
      <c r="M75" s="293"/>
      <c r="N75" s="293"/>
      <c r="O75" s="293"/>
      <c r="P75" s="293"/>
      <c r="Q75" s="293"/>
      <c r="R75" s="293"/>
      <c r="S75" s="293"/>
      <c r="T75" s="293"/>
      <c r="U75" s="293"/>
      <c r="V75" s="293"/>
      <c r="W75" s="293"/>
      <c r="X75" s="293"/>
      <c r="Y75" s="293"/>
      <c r="Z75" s="293"/>
    </row>
    <row r="76" spans="1:26">
      <c r="A76" s="299"/>
      <c r="B76" s="296">
        <v>2024</v>
      </c>
      <c r="C76" s="297">
        <f t="shared" si="8"/>
        <v>32.182032806676219</v>
      </c>
      <c r="D76" s="293" t="s">
        <v>152</v>
      </c>
      <c r="E76" s="298">
        <f t="shared" si="6"/>
        <v>89.394535574100615</v>
      </c>
      <c r="F76" s="293" t="s">
        <v>282</v>
      </c>
      <c r="G76" s="293" t="s">
        <v>488</v>
      </c>
      <c r="H76" s="293" t="s">
        <v>273</v>
      </c>
      <c r="I76" s="293"/>
      <c r="J76" s="293"/>
      <c r="K76" s="293"/>
      <c r="L76" s="293"/>
      <c r="M76" s="293"/>
      <c r="N76" s="293"/>
      <c r="O76" s="293"/>
      <c r="P76" s="293"/>
      <c r="Q76" s="293"/>
      <c r="R76" s="293"/>
      <c r="S76" s="293"/>
      <c r="T76" s="293"/>
      <c r="U76" s="293"/>
      <c r="V76" s="293"/>
      <c r="W76" s="293"/>
      <c r="X76" s="293"/>
      <c r="Y76" s="293"/>
      <c r="Z76" s="293"/>
    </row>
    <row r="77" spans="1:26">
      <c r="A77" s="299"/>
      <c r="B77" s="296">
        <v>2025</v>
      </c>
      <c r="C77" s="297">
        <f t="shared" si="8"/>
        <v>28.95043708070158</v>
      </c>
      <c r="D77" s="293" t="s">
        <v>152</v>
      </c>
      <c r="E77" s="298">
        <f t="shared" si="6"/>
        <v>80.417880779726616</v>
      </c>
      <c r="F77" s="293" t="s">
        <v>282</v>
      </c>
      <c r="G77" s="293" t="s">
        <v>488</v>
      </c>
      <c r="H77" s="293" t="s">
        <v>273</v>
      </c>
      <c r="I77" s="293"/>
      <c r="J77" s="293"/>
      <c r="K77" s="293"/>
      <c r="L77" s="293"/>
      <c r="M77" s="293"/>
      <c r="N77" s="293"/>
      <c r="O77" s="293"/>
      <c r="P77" s="293"/>
      <c r="Q77" s="293"/>
      <c r="R77" s="293"/>
      <c r="S77" s="293"/>
      <c r="T77" s="293"/>
      <c r="U77" s="293"/>
      <c r="V77" s="293"/>
      <c r="W77" s="293"/>
      <c r="X77" s="293"/>
      <c r="Y77" s="293"/>
      <c r="Z77" s="293"/>
    </row>
    <row r="78" spans="1:26">
      <c r="A78" s="299"/>
      <c r="B78" s="296">
        <v>2026</v>
      </c>
      <c r="C78" s="297">
        <f t="shared" si="8"/>
        <v>27.71857108176679</v>
      </c>
      <c r="D78" s="293" t="s">
        <v>152</v>
      </c>
      <c r="E78" s="298">
        <f t="shared" si="6"/>
        <v>76.996030782685523</v>
      </c>
      <c r="F78" s="293" t="s">
        <v>282</v>
      </c>
      <c r="G78" s="293" t="s">
        <v>488</v>
      </c>
      <c r="H78" s="293" t="s">
        <v>273</v>
      </c>
      <c r="I78" s="293"/>
      <c r="J78" s="293"/>
      <c r="K78" s="293"/>
      <c r="L78" s="293"/>
      <c r="M78" s="293"/>
      <c r="N78" s="293"/>
      <c r="O78" s="293"/>
      <c r="P78" s="293"/>
      <c r="Q78" s="293"/>
      <c r="R78" s="293"/>
      <c r="S78" s="293" t="s">
        <v>266</v>
      </c>
      <c r="T78" s="293"/>
      <c r="U78" s="293"/>
      <c r="V78" s="293"/>
      <c r="W78" s="293"/>
      <c r="X78" s="293"/>
      <c r="Y78" s="293"/>
      <c r="Z78" s="293"/>
    </row>
    <row r="79" spans="1:26">
      <c r="A79" s="299"/>
      <c r="B79" s="296">
        <v>2027</v>
      </c>
      <c r="C79" s="297">
        <f t="shared" si="8"/>
        <v>26.454875913170369</v>
      </c>
      <c r="D79" s="293" t="s">
        <v>152</v>
      </c>
      <c r="E79" s="298">
        <f t="shared" si="6"/>
        <v>73.485766425473244</v>
      </c>
      <c r="F79" s="293" t="s">
        <v>282</v>
      </c>
      <c r="G79" s="293" t="s">
        <v>488</v>
      </c>
      <c r="H79" s="293" t="s">
        <v>273</v>
      </c>
      <c r="I79" s="293"/>
      <c r="J79" s="293"/>
      <c r="K79" s="293"/>
      <c r="L79" s="293"/>
      <c r="M79" s="293"/>
      <c r="N79" s="293"/>
      <c r="O79" s="293"/>
      <c r="P79" s="293"/>
      <c r="Q79" s="293"/>
      <c r="R79" s="293"/>
      <c r="S79" s="293"/>
      <c r="T79" s="293"/>
      <c r="U79" s="293"/>
      <c r="V79" s="293"/>
      <c r="W79" s="293"/>
      <c r="X79" s="293"/>
      <c r="Y79" s="293"/>
      <c r="Z79" s="293"/>
    </row>
    <row r="80" spans="1:26">
      <c r="A80" s="299"/>
      <c r="B80" s="296">
        <v>2028</v>
      </c>
      <c r="C80" s="297">
        <f t="shared" si="8"/>
        <v>24.92722616719081</v>
      </c>
      <c r="D80" s="293" t="s">
        <v>152</v>
      </c>
      <c r="E80" s="298">
        <f t="shared" si="6"/>
        <v>69.242294908863357</v>
      </c>
      <c r="F80" s="293" t="s">
        <v>282</v>
      </c>
      <c r="G80" s="293" t="s">
        <v>488</v>
      </c>
      <c r="H80" s="293" t="s">
        <v>273</v>
      </c>
      <c r="I80" s="293"/>
      <c r="J80" s="293"/>
      <c r="K80" s="293"/>
      <c r="L80" s="293"/>
      <c r="M80" s="293"/>
      <c r="N80" s="293"/>
      <c r="O80" s="293"/>
      <c r="P80" s="293"/>
      <c r="Q80" s="293"/>
      <c r="R80" s="293"/>
      <c r="S80" s="293"/>
      <c r="T80" s="293"/>
      <c r="U80" s="293"/>
      <c r="V80" s="293"/>
      <c r="W80" s="293"/>
      <c r="X80" s="293"/>
      <c r="Y80" s="293"/>
      <c r="Z80" s="293"/>
    </row>
    <row r="81" spans="1:26">
      <c r="A81" s="299"/>
      <c r="B81" s="296">
        <v>2029</v>
      </c>
      <c r="C81" s="297">
        <f t="shared" si="8"/>
        <v>23.584854446160612</v>
      </c>
      <c r="D81" s="293" t="s">
        <v>152</v>
      </c>
      <c r="E81" s="298">
        <f t="shared" si="6"/>
        <v>65.513484572668361</v>
      </c>
      <c r="F81" s="293" t="s">
        <v>282</v>
      </c>
      <c r="G81" s="293" t="s">
        <v>488</v>
      </c>
      <c r="H81" s="293" t="s">
        <v>273</v>
      </c>
      <c r="I81" s="293"/>
      <c r="J81" s="293"/>
      <c r="K81" s="293"/>
      <c r="L81" s="293"/>
      <c r="M81" s="293"/>
      <c r="N81" s="293"/>
      <c r="O81" s="293"/>
      <c r="P81" s="293"/>
      <c r="Q81" s="293"/>
      <c r="R81" s="293"/>
      <c r="S81" s="293"/>
      <c r="T81" s="293"/>
      <c r="U81" s="293"/>
      <c r="V81" s="293"/>
      <c r="W81" s="293"/>
      <c r="X81" s="293"/>
      <c r="Y81" s="293"/>
      <c r="Z81" s="293"/>
    </row>
    <row r="82" spans="1:26">
      <c r="A82" s="299"/>
      <c r="B82" s="300">
        <v>2030</v>
      </c>
      <c r="C82" s="301">
        <f t="shared" si="8"/>
        <v>22.187284510758346</v>
      </c>
      <c r="D82" s="302" t="s">
        <v>152</v>
      </c>
      <c r="E82" s="303">
        <f t="shared" si="6"/>
        <v>61.631345863217632</v>
      </c>
      <c r="F82" s="302" t="s">
        <v>282</v>
      </c>
      <c r="G82" s="302" t="s">
        <v>488</v>
      </c>
      <c r="H82" s="302" t="s">
        <v>273</v>
      </c>
      <c r="I82" s="302"/>
      <c r="J82" s="302"/>
      <c r="K82" s="302"/>
      <c r="L82" s="302"/>
      <c r="M82" s="302"/>
      <c r="N82" s="302"/>
      <c r="O82" s="302"/>
      <c r="P82" s="302"/>
      <c r="Q82" s="302"/>
      <c r="R82" s="302"/>
      <c r="S82" s="302"/>
      <c r="T82" s="302"/>
      <c r="U82" s="302"/>
      <c r="V82" s="302"/>
      <c r="W82" s="302"/>
      <c r="X82" s="302"/>
      <c r="Y82" s="302"/>
      <c r="Z82" s="302"/>
    </row>
    <row r="83" spans="1:26">
      <c r="B83" s="296">
        <v>2010</v>
      </c>
      <c r="C83" s="297">
        <f t="shared" ref="C83:C112" si="9">IF(C53&gt;20,C53-20,0)</f>
        <v>22.48203348517513</v>
      </c>
      <c r="D83" s="293" t="s">
        <v>152</v>
      </c>
      <c r="E83" s="298">
        <f t="shared" si="6"/>
        <v>62.450093014375362</v>
      </c>
      <c r="F83" s="293" t="s">
        <v>282</v>
      </c>
      <c r="G83" s="293" t="s">
        <v>487</v>
      </c>
      <c r="H83" s="293" t="s">
        <v>273</v>
      </c>
      <c r="I83" s="293"/>
      <c r="J83" s="293"/>
      <c r="K83" s="293"/>
      <c r="L83" s="293"/>
      <c r="M83" s="293"/>
      <c r="N83" s="293"/>
      <c r="O83" s="293"/>
      <c r="P83" s="293"/>
      <c r="Q83" s="293"/>
      <c r="R83" s="293"/>
      <c r="S83" s="293" t="s">
        <v>266</v>
      </c>
      <c r="T83" s="293"/>
      <c r="U83" s="293"/>
      <c r="V83" s="293"/>
      <c r="W83" s="293"/>
      <c r="X83" s="293"/>
      <c r="Y83" s="293"/>
      <c r="Z83" s="293"/>
    </row>
    <row r="84" spans="1:26">
      <c r="A84" s="299"/>
      <c r="B84" s="296">
        <v>2015</v>
      </c>
      <c r="C84" s="297">
        <f t="shared" si="9"/>
        <v>22.48203348517513</v>
      </c>
      <c r="D84" s="293" t="s">
        <v>152</v>
      </c>
      <c r="E84" s="298">
        <f t="shared" si="6"/>
        <v>62.450093014375362</v>
      </c>
      <c r="F84" s="293" t="s">
        <v>282</v>
      </c>
      <c r="G84" s="293" t="s">
        <v>487</v>
      </c>
      <c r="H84" s="293" t="s">
        <v>273</v>
      </c>
      <c r="I84" s="293"/>
      <c r="J84" s="293"/>
      <c r="K84" s="293"/>
      <c r="L84" s="293"/>
      <c r="M84" s="293"/>
      <c r="N84" s="293"/>
      <c r="O84" s="293"/>
      <c r="P84" s="293"/>
      <c r="Q84" s="293"/>
      <c r="R84" s="293"/>
      <c r="S84" s="293"/>
      <c r="T84" s="293"/>
      <c r="U84" s="293"/>
      <c r="V84" s="293"/>
      <c r="W84" s="293"/>
      <c r="X84" s="293"/>
      <c r="Y84" s="293"/>
      <c r="Z84" s="293"/>
    </row>
    <row r="85" spans="1:26">
      <c r="A85" s="299"/>
      <c r="B85" s="296">
        <v>2018</v>
      </c>
      <c r="C85" s="297">
        <f t="shared" si="9"/>
        <v>21.109937560997167</v>
      </c>
      <c r="D85" s="293" t="s">
        <v>152</v>
      </c>
      <c r="E85" s="298">
        <f t="shared" ref="E85:E115" si="10">C85/0.0036/100</f>
        <v>58.638715447214352</v>
      </c>
      <c r="F85" s="293" t="s">
        <v>282</v>
      </c>
      <c r="G85" s="293" t="s">
        <v>487</v>
      </c>
      <c r="H85" s="293" t="s">
        <v>273</v>
      </c>
      <c r="I85" s="293"/>
      <c r="J85" s="293"/>
      <c r="K85" s="293"/>
      <c r="L85" s="293"/>
      <c r="M85" s="293"/>
      <c r="N85" s="293"/>
      <c r="O85" s="293"/>
      <c r="P85" s="293"/>
      <c r="Q85" s="293"/>
      <c r="R85" s="293"/>
      <c r="S85" s="293"/>
      <c r="T85" s="293"/>
      <c r="U85" s="293"/>
      <c r="V85" s="293"/>
      <c r="W85" s="293"/>
      <c r="X85" s="293"/>
      <c r="Y85" s="293"/>
      <c r="Z85" s="293"/>
    </row>
    <row r="86" spans="1:26">
      <c r="A86" s="299"/>
      <c r="B86" s="296">
        <v>2019</v>
      </c>
      <c r="C86" s="297">
        <f t="shared" si="9"/>
        <v>19.871112188688535</v>
      </c>
      <c r="D86" s="293" t="s">
        <v>152</v>
      </c>
      <c r="E86" s="298">
        <f t="shared" si="10"/>
        <v>55.197533857468152</v>
      </c>
      <c r="F86" s="293" t="s">
        <v>282</v>
      </c>
      <c r="G86" s="293" t="s">
        <v>487</v>
      </c>
      <c r="H86" s="293" t="s">
        <v>273</v>
      </c>
      <c r="I86" s="293"/>
      <c r="J86" s="293"/>
      <c r="K86" s="293"/>
      <c r="L86" s="293"/>
      <c r="M86" s="293"/>
      <c r="N86" s="293"/>
      <c r="O86" s="293"/>
      <c r="P86" s="293"/>
      <c r="Q86" s="293"/>
      <c r="R86" s="293"/>
      <c r="S86" s="293"/>
      <c r="T86" s="293"/>
      <c r="U86" s="293"/>
      <c r="V86" s="293"/>
      <c r="W86" s="293"/>
      <c r="X86" s="293"/>
      <c r="Y86" s="293"/>
      <c r="Z86" s="293"/>
    </row>
    <row r="87" spans="1:26">
      <c r="A87" s="299"/>
      <c r="B87" s="296">
        <v>2020</v>
      </c>
      <c r="C87" s="297">
        <f t="shared" si="9"/>
        <v>17.80373699544279</v>
      </c>
      <c r="D87" s="293" t="s">
        <v>152</v>
      </c>
      <c r="E87" s="298">
        <f t="shared" si="10"/>
        <v>49.454824987341091</v>
      </c>
      <c r="F87" s="293" t="s">
        <v>282</v>
      </c>
      <c r="G87" s="293" t="s">
        <v>487</v>
      </c>
      <c r="H87" s="293" t="s">
        <v>273</v>
      </c>
      <c r="I87" s="293"/>
      <c r="J87" s="293"/>
      <c r="K87" s="293"/>
      <c r="L87" s="293"/>
      <c r="M87" s="293"/>
      <c r="N87" s="293"/>
      <c r="O87" s="293"/>
      <c r="P87" s="293"/>
      <c r="Q87" s="293"/>
      <c r="R87" s="293"/>
      <c r="S87" s="293"/>
      <c r="T87" s="293"/>
      <c r="U87" s="293"/>
      <c r="V87" s="293"/>
      <c r="W87" s="293"/>
      <c r="X87" s="293"/>
      <c r="Y87" s="293"/>
      <c r="Z87" s="293"/>
    </row>
    <row r="88" spans="1:26">
      <c r="A88" s="299"/>
      <c r="B88" s="296">
        <v>2021</v>
      </c>
      <c r="C88" s="297">
        <f t="shared" si="9"/>
        <v>15.417061855590703</v>
      </c>
      <c r="D88" s="293" t="s">
        <v>152</v>
      </c>
      <c r="E88" s="298">
        <f t="shared" si="10"/>
        <v>42.825171821085284</v>
      </c>
      <c r="F88" s="293" t="s">
        <v>282</v>
      </c>
      <c r="G88" s="293" t="s">
        <v>487</v>
      </c>
      <c r="H88" s="293" t="s">
        <v>273</v>
      </c>
      <c r="I88" s="293"/>
      <c r="J88" s="293"/>
      <c r="K88" s="293"/>
      <c r="L88" s="293"/>
      <c r="M88" s="293"/>
      <c r="N88" s="293"/>
      <c r="O88" s="293"/>
      <c r="P88" s="293"/>
      <c r="Q88" s="293"/>
      <c r="R88" s="293"/>
      <c r="S88" s="293" t="s">
        <v>266</v>
      </c>
      <c r="T88" s="293"/>
      <c r="U88" s="293"/>
      <c r="V88" s="293"/>
      <c r="W88" s="293"/>
      <c r="X88" s="293"/>
      <c r="Y88" s="293"/>
      <c r="Z88" s="293"/>
    </row>
    <row r="89" spans="1:26">
      <c r="A89" s="299"/>
      <c r="B89" s="296">
        <v>2022</v>
      </c>
      <c r="C89" s="297">
        <f t="shared" si="9"/>
        <v>14.070114618449978</v>
      </c>
      <c r="D89" s="293" t="s">
        <v>152</v>
      </c>
      <c r="E89" s="298">
        <f t="shared" si="10"/>
        <v>39.083651717916602</v>
      </c>
      <c r="F89" s="293" t="s">
        <v>282</v>
      </c>
      <c r="G89" s="293" t="s">
        <v>487</v>
      </c>
      <c r="H89" s="293" t="s">
        <v>273</v>
      </c>
      <c r="I89" s="293"/>
      <c r="J89" s="293"/>
      <c r="K89" s="293"/>
      <c r="L89" s="293"/>
      <c r="M89" s="293"/>
      <c r="N89" s="293"/>
      <c r="O89" s="293"/>
      <c r="P89" s="293"/>
      <c r="Q89" s="293"/>
      <c r="R89" s="293"/>
      <c r="S89" s="293"/>
      <c r="T89" s="293"/>
      <c r="U89" s="293"/>
      <c r="V89" s="293"/>
      <c r="W89" s="293"/>
      <c r="X89" s="293"/>
      <c r="Y89" s="293"/>
      <c r="Z89" s="293"/>
    </row>
    <row r="90" spans="1:26">
      <c r="A90" s="299"/>
      <c r="B90" s="296">
        <v>2023</v>
      </c>
      <c r="C90" s="297">
        <f t="shared" si="9"/>
        <v>12.326245074732491</v>
      </c>
      <c r="D90" s="293" t="s">
        <v>152</v>
      </c>
      <c r="E90" s="298">
        <f t="shared" si="10"/>
        <v>34.239569652034696</v>
      </c>
      <c r="F90" s="293" t="s">
        <v>282</v>
      </c>
      <c r="G90" s="293" t="s">
        <v>487</v>
      </c>
      <c r="H90" s="293" t="s">
        <v>273</v>
      </c>
      <c r="I90" s="293"/>
      <c r="J90" s="293"/>
      <c r="K90" s="293"/>
      <c r="L90" s="293"/>
      <c r="M90" s="293"/>
      <c r="N90" s="293"/>
      <c r="O90" s="293"/>
      <c r="P90" s="293"/>
      <c r="Q90" s="293"/>
      <c r="R90" s="293"/>
      <c r="S90" s="293"/>
      <c r="T90" s="293"/>
      <c r="U90" s="293"/>
      <c r="V90" s="293"/>
      <c r="W90" s="293"/>
      <c r="X90" s="293"/>
      <c r="Y90" s="293"/>
      <c r="Z90" s="293"/>
    </row>
    <row r="91" spans="1:26">
      <c r="A91" s="299"/>
      <c r="B91" s="296">
        <v>2024</v>
      </c>
      <c r="C91" s="297">
        <f t="shared" si="9"/>
        <v>11.677049682196831</v>
      </c>
      <c r="D91" s="293" t="s">
        <v>152</v>
      </c>
      <c r="E91" s="298">
        <f t="shared" si="10"/>
        <v>32.436249117213421</v>
      </c>
      <c r="F91" s="293" t="s">
        <v>282</v>
      </c>
      <c r="G91" s="293" t="s">
        <v>487</v>
      </c>
      <c r="H91" s="293" t="s">
        <v>273</v>
      </c>
      <c r="I91" s="293"/>
      <c r="J91" s="293"/>
      <c r="K91" s="293"/>
      <c r="L91" s="293"/>
      <c r="M91" s="293"/>
      <c r="N91" s="293"/>
      <c r="O91" s="293"/>
      <c r="P91" s="293"/>
      <c r="Q91" s="293"/>
      <c r="R91" s="293"/>
      <c r="S91" s="293"/>
      <c r="T91" s="293"/>
      <c r="U91" s="293"/>
      <c r="V91" s="293"/>
      <c r="W91" s="293"/>
      <c r="X91" s="293"/>
      <c r="Y91" s="293"/>
      <c r="Z91" s="293"/>
    </row>
    <row r="92" spans="1:26">
      <c r="A92" s="299"/>
      <c r="B92" s="296">
        <v>2025</v>
      </c>
      <c r="C92" s="297">
        <f t="shared" si="9"/>
        <v>9.2323311853831846</v>
      </c>
      <c r="D92" s="293" t="s">
        <v>152</v>
      </c>
      <c r="E92" s="298">
        <f t="shared" si="10"/>
        <v>25.64536440384218</v>
      </c>
      <c r="F92" s="293" t="s">
        <v>282</v>
      </c>
      <c r="G92" s="293" t="s">
        <v>487</v>
      </c>
      <c r="H92" s="293" t="s">
        <v>273</v>
      </c>
      <c r="I92" s="293"/>
      <c r="J92" s="293"/>
      <c r="K92" s="293"/>
      <c r="L92" s="293"/>
      <c r="M92" s="293"/>
      <c r="N92" s="293"/>
      <c r="O92" s="293"/>
      <c r="P92" s="293"/>
      <c r="Q92" s="293"/>
      <c r="R92" s="293"/>
      <c r="S92" s="293"/>
      <c r="T92" s="293"/>
      <c r="U92" s="293"/>
      <c r="V92" s="293"/>
      <c r="W92" s="293"/>
      <c r="X92" s="293"/>
      <c r="Y92" s="293"/>
      <c r="Z92" s="293"/>
    </row>
    <row r="93" spans="1:26">
      <c r="A93" s="299"/>
      <c r="B93" s="296">
        <v>2026</v>
      </c>
      <c r="C93" s="297">
        <f t="shared" si="9"/>
        <v>8.0215044598688436</v>
      </c>
      <c r="D93" s="293" t="s">
        <v>152</v>
      </c>
      <c r="E93" s="298">
        <f t="shared" si="10"/>
        <v>22.281956832969012</v>
      </c>
      <c r="F93" s="293" t="s">
        <v>282</v>
      </c>
      <c r="G93" s="293" t="s">
        <v>487</v>
      </c>
      <c r="H93" s="293" t="s">
        <v>273</v>
      </c>
      <c r="I93" s="293"/>
      <c r="J93" s="293"/>
      <c r="K93" s="293"/>
      <c r="L93" s="293"/>
      <c r="M93" s="293"/>
      <c r="N93" s="293"/>
      <c r="O93" s="293"/>
      <c r="P93" s="293"/>
      <c r="Q93" s="293"/>
      <c r="R93" s="293"/>
      <c r="S93" s="293" t="s">
        <v>266</v>
      </c>
      <c r="T93" s="293"/>
      <c r="U93" s="293"/>
      <c r="V93" s="293"/>
      <c r="W93" s="293"/>
      <c r="X93" s="293"/>
      <c r="Y93" s="293"/>
      <c r="Z93" s="293"/>
    </row>
    <row r="94" spans="1:26">
      <c r="A94" s="299"/>
      <c r="B94" s="296">
        <v>2027</v>
      </c>
      <c r="C94" s="297">
        <f t="shared" si="9"/>
        <v>6.7823979431006833</v>
      </c>
      <c r="D94" s="293" t="s">
        <v>152</v>
      </c>
      <c r="E94" s="298">
        <f t="shared" si="10"/>
        <v>18.839994286390787</v>
      </c>
      <c r="F94" s="293" t="s">
        <v>282</v>
      </c>
      <c r="G94" s="293" t="s">
        <v>487</v>
      </c>
      <c r="H94" s="293" t="s">
        <v>273</v>
      </c>
      <c r="I94" s="293"/>
      <c r="J94" s="293"/>
      <c r="K94" s="293"/>
      <c r="L94" s="293"/>
      <c r="M94" s="293"/>
      <c r="N94" s="293"/>
      <c r="O94" s="293"/>
      <c r="P94" s="293"/>
      <c r="Q94" s="293"/>
      <c r="R94" s="293"/>
      <c r="S94" s="293"/>
      <c r="T94" s="293"/>
      <c r="U94" s="293"/>
      <c r="V94" s="293"/>
      <c r="W94" s="293"/>
      <c r="X94" s="293"/>
      <c r="Y94" s="293"/>
      <c r="Z94" s="293"/>
    </row>
    <row r="95" spans="1:26">
      <c r="A95" s="299"/>
      <c r="B95" s="296">
        <v>2028</v>
      </c>
      <c r="C95" s="297">
        <f t="shared" si="9"/>
        <v>5.0204034572146981</v>
      </c>
      <c r="D95" s="293" t="s">
        <v>152</v>
      </c>
      <c r="E95" s="298">
        <f t="shared" si="10"/>
        <v>13.945565158929718</v>
      </c>
      <c r="F95" s="293" t="s">
        <v>282</v>
      </c>
      <c r="G95" s="293" t="s">
        <v>487</v>
      </c>
      <c r="H95" s="293" t="s">
        <v>273</v>
      </c>
      <c r="I95" s="293"/>
      <c r="J95" s="293"/>
      <c r="K95" s="293"/>
      <c r="L95" s="293"/>
      <c r="M95" s="293"/>
      <c r="N95" s="293"/>
      <c r="O95" s="293"/>
      <c r="P95" s="293"/>
      <c r="Q95" s="293"/>
      <c r="R95" s="293"/>
      <c r="S95" s="293"/>
      <c r="T95" s="293"/>
      <c r="U95" s="293"/>
      <c r="V95" s="293"/>
      <c r="W95" s="293"/>
      <c r="X95" s="293"/>
      <c r="Y95" s="293"/>
      <c r="Z95" s="293"/>
    </row>
    <row r="96" spans="1:26">
      <c r="A96" s="299"/>
      <c r="B96" s="296">
        <v>2029</v>
      </c>
      <c r="C96" s="297">
        <f t="shared" si="9"/>
        <v>3.4844344615660816</v>
      </c>
      <c r="D96" s="293" t="s">
        <v>152</v>
      </c>
      <c r="E96" s="298">
        <f t="shared" si="10"/>
        <v>9.6789846154613386</v>
      </c>
      <c r="F96" s="293" t="s">
        <v>282</v>
      </c>
      <c r="G96" s="293" t="s">
        <v>487</v>
      </c>
      <c r="H96" s="293" t="s">
        <v>273</v>
      </c>
      <c r="I96" s="293"/>
      <c r="J96" s="293"/>
      <c r="K96" s="293"/>
      <c r="L96" s="293"/>
      <c r="M96" s="293"/>
      <c r="N96" s="293"/>
      <c r="O96" s="293"/>
      <c r="P96" s="293"/>
      <c r="Q96" s="293"/>
      <c r="R96" s="293"/>
      <c r="S96" s="293"/>
      <c r="T96" s="293"/>
      <c r="U96" s="293"/>
      <c r="V96" s="293"/>
      <c r="W96" s="293"/>
      <c r="X96" s="293"/>
      <c r="Y96" s="293"/>
      <c r="Z96" s="293"/>
    </row>
    <row r="97" spans="1:26">
      <c r="A97" s="299"/>
      <c r="B97" s="296">
        <v>2030</v>
      </c>
      <c r="C97" s="297">
        <f t="shared" si="9"/>
        <v>2.0152180434077707</v>
      </c>
      <c r="D97" s="293" t="s">
        <v>152</v>
      </c>
      <c r="E97" s="298">
        <f t="shared" si="10"/>
        <v>5.5978278983549181</v>
      </c>
      <c r="F97" s="293" t="s">
        <v>282</v>
      </c>
      <c r="G97" s="293" t="s">
        <v>487</v>
      </c>
      <c r="H97" s="293" t="s">
        <v>273</v>
      </c>
      <c r="I97" s="293"/>
      <c r="J97" s="293"/>
      <c r="K97" s="293"/>
      <c r="L97" s="293"/>
      <c r="M97" s="293"/>
      <c r="N97" s="293"/>
      <c r="O97" s="293"/>
      <c r="P97" s="293"/>
      <c r="Q97" s="293"/>
      <c r="R97" s="293"/>
      <c r="S97" s="293"/>
      <c r="T97" s="293"/>
      <c r="U97" s="293"/>
      <c r="V97" s="293"/>
      <c r="W97" s="293"/>
      <c r="X97" s="293"/>
      <c r="Y97" s="293"/>
      <c r="Z97" s="293"/>
    </row>
    <row r="98" spans="1:26">
      <c r="B98" s="296">
        <v>2010</v>
      </c>
      <c r="C98" s="297">
        <f t="shared" si="9"/>
        <v>22.978448904018677</v>
      </c>
      <c r="D98" s="293" t="s">
        <v>152</v>
      </c>
      <c r="E98" s="298">
        <f t="shared" si="10"/>
        <v>63.829024733385211</v>
      </c>
      <c r="F98" s="293" t="s">
        <v>282</v>
      </c>
      <c r="G98" s="293" t="s">
        <v>488</v>
      </c>
      <c r="H98" s="293" t="s">
        <v>273</v>
      </c>
      <c r="I98" s="293"/>
      <c r="J98" s="293"/>
      <c r="K98" s="293"/>
      <c r="L98" s="293"/>
      <c r="M98" s="293"/>
      <c r="N98" s="293"/>
      <c r="O98" s="293"/>
      <c r="P98" s="293"/>
      <c r="Q98" s="293"/>
      <c r="R98" s="293"/>
      <c r="S98" s="293" t="s">
        <v>266</v>
      </c>
      <c r="T98" s="293"/>
      <c r="U98" s="293"/>
      <c r="V98" s="293"/>
      <c r="W98" s="293"/>
      <c r="X98" s="293"/>
      <c r="Y98" s="293"/>
      <c r="Z98" s="293"/>
    </row>
    <row r="99" spans="1:26">
      <c r="A99" s="299"/>
      <c r="B99" s="296">
        <v>2015</v>
      </c>
      <c r="C99" s="297">
        <f t="shared" si="9"/>
        <v>22.978448904018677</v>
      </c>
      <c r="D99" s="293" t="s">
        <v>152</v>
      </c>
      <c r="E99" s="298">
        <f t="shared" si="10"/>
        <v>63.829024733385211</v>
      </c>
      <c r="F99" s="293" t="s">
        <v>282</v>
      </c>
      <c r="G99" s="293" t="s">
        <v>488</v>
      </c>
      <c r="H99" s="293" t="s">
        <v>273</v>
      </c>
      <c r="I99" s="293"/>
      <c r="J99" s="293"/>
      <c r="K99" s="293"/>
      <c r="L99" s="293"/>
      <c r="M99" s="293"/>
      <c r="N99" s="293"/>
      <c r="O99" s="293"/>
      <c r="P99" s="293"/>
      <c r="Q99" s="293"/>
      <c r="R99" s="293"/>
      <c r="S99" s="293"/>
      <c r="T99" s="293"/>
      <c r="U99" s="293"/>
      <c r="V99" s="293"/>
      <c r="W99" s="293"/>
      <c r="X99" s="293"/>
      <c r="Y99" s="293"/>
      <c r="Z99" s="293"/>
    </row>
    <row r="100" spans="1:26">
      <c r="A100" s="299"/>
      <c r="B100" s="296">
        <v>2018</v>
      </c>
      <c r="C100" s="297">
        <f t="shared" si="9"/>
        <v>21.912298354010481</v>
      </c>
      <c r="D100" s="293" t="s">
        <v>152</v>
      </c>
      <c r="E100" s="298">
        <f t="shared" si="10"/>
        <v>60.867495427806901</v>
      </c>
      <c r="F100" s="293" t="s">
        <v>282</v>
      </c>
      <c r="G100" s="293" t="s">
        <v>488</v>
      </c>
      <c r="H100" s="293" t="s">
        <v>273</v>
      </c>
      <c r="I100" s="293"/>
      <c r="J100" s="293"/>
      <c r="K100" s="293"/>
      <c r="L100" s="293"/>
      <c r="M100" s="293"/>
      <c r="N100" s="293"/>
      <c r="O100" s="293"/>
      <c r="P100" s="293"/>
      <c r="Q100" s="293"/>
      <c r="R100" s="293"/>
      <c r="S100" s="293"/>
      <c r="T100" s="293"/>
      <c r="U100" s="293"/>
      <c r="V100" s="293"/>
      <c r="W100" s="293"/>
      <c r="X100" s="293"/>
      <c r="Y100" s="293"/>
      <c r="Z100" s="293"/>
    </row>
    <row r="101" spans="1:26">
      <c r="A101" s="299"/>
      <c r="B101" s="296">
        <v>2019</v>
      </c>
      <c r="C101" s="297">
        <f t="shared" si="9"/>
        <v>21.562377024758696</v>
      </c>
      <c r="D101" s="293" t="s">
        <v>152</v>
      </c>
      <c r="E101" s="298">
        <f t="shared" si="10"/>
        <v>59.895491735440828</v>
      </c>
      <c r="F101" s="293" t="s">
        <v>282</v>
      </c>
      <c r="G101" s="293" t="s">
        <v>488</v>
      </c>
      <c r="H101" s="293" t="s">
        <v>273</v>
      </c>
      <c r="I101" s="293"/>
      <c r="J101" s="293"/>
      <c r="K101" s="293"/>
      <c r="L101" s="293"/>
      <c r="M101" s="293"/>
      <c r="N101" s="293"/>
      <c r="O101" s="293"/>
      <c r="P101" s="293"/>
      <c r="Q101" s="293"/>
      <c r="R101" s="293"/>
      <c r="S101" s="293"/>
      <c r="T101" s="293"/>
      <c r="U101" s="293"/>
      <c r="V101" s="293"/>
      <c r="W101" s="293"/>
      <c r="X101" s="293"/>
      <c r="Y101" s="293"/>
      <c r="Z101" s="293"/>
    </row>
    <row r="102" spans="1:26">
      <c r="A102" s="299"/>
      <c r="B102" s="296">
        <v>2020</v>
      </c>
      <c r="C102" s="297">
        <f t="shared" si="9"/>
        <v>18.652696739642053</v>
      </c>
      <c r="D102" s="293" t="s">
        <v>152</v>
      </c>
      <c r="E102" s="298">
        <f t="shared" si="10"/>
        <v>51.813046499005708</v>
      </c>
      <c r="F102" s="293" t="s">
        <v>282</v>
      </c>
      <c r="G102" s="293" t="s">
        <v>488</v>
      </c>
      <c r="H102" s="293" t="s">
        <v>273</v>
      </c>
      <c r="I102" s="293"/>
      <c r="J102" s="293"/>
      <c r="K102" s="293"/>
      <c r="L102" s="293"/>
      <c r="M102" s="293"/>
      <c r="N102" s="293"/>
      <c r="O102" s="293"/>
      <c r="P102" s="293"/>
      <c r="Q102" s="293"/>
      <c r="R102" s="293"/>
      <c r="S102" s="293"/>
      <c r="T102" s="293"/>
      <c r="U102" s="293"/>
      <c r="V102" s="293"/>
      <c r="W102" s="293"/>
      <c r="X102" s="293"/>
      <c r="Y102" s="293"/>
      <c r="Z102" s="293"/>
    </row>
    <row r="103" spans="1:26">
      <c r="A103" s="299"/>
      <c r="B103" s="296">
        <v>2021</v>
      </c>
      <c r="C103" s="297">
        <f t="shared" si="9"/>
        <v>16.458681230603482</v>
      </c>
      <c r="D103" s="293" t="s">
        <v>152</v>
      </c>
      <c r="E103" s="298">
        <f t="shared" si="10"/>
        <v>45.71855897389856</v>
      </c>
      <c r="F103" s="293" t="s">
        <v>282</v>
      </c>
      <c r="G103" s="293" t="s">
        <v>488</v>
      </c>
      <c r="H103" s="293" t="s">
        <v>273</v>
      </c>
      <c r="I103" s="293"/>
      <c r="J103" s="293"/>
      <c r="K103" s="293"/>
      <c r="L103" s="293"/>
      <c r="M103" s="293"/>
      <c r="N103" s="293"/>
      <c r="O103" s="293"/>
      <c r="P103" s="293"/>
      <c r="Q103" s="293"/>
      <c r="R103" s="293"/>
      <c r="S103" s="293" t="s">
        <v>266</v>
      </c>
      <c r="T103" s="293"/>
      <c r="U103" s="293"/>
      <c r="V103" s="293"/>
      <c r="W103" s="293"/>
      <c r="X103" s="293"/>
      <c r="Y103" s="293"/>
      <c r="Z103" s="293"/>
    </row>
    <row r="104" spans="1:26">
      <c r="A104" s="299"/>
      <c r="B104" s="296">
        <v>2022</v>
      </c>
      <c r="C104" s="297">
        <f t="shared" si="9"/>
        <v>14.962455028994512</v>
      </c>
      <c r="D104" s="293" t="s">
        <v>152</v>
      </c>
      <c r="E104" s="298">
        <f t="shared" si="10"/>
        <v>41.562375080540313</v>
      </c>
      <c r="F104" s="293" t="s">
        <v>282</v>
      </c>
      <c r="G104" s="293" t="s">
        <v>488</v>
      </c>
      <c r="H104" s="293" t="s">
        <v>273</v>
      </c>
      <c r="I104" s="293"/>
      <c r="J104" s="293"/>
      <c r="K104" s="293"/>
      <c r="L104" s="293"/>
      <c r="M104" s="293"/>
      <c r="N104" s="293"/>
      <c r="O104" s="293"/>
      <c r="P104" s="293"/>
      <c r="Q104" s="293"/>
      <c r="R104" s="293"/>
      <c r="S104" s="293"/>
      <c r="T104" s="293"/>
      <c r="U104" s="293"/>
      <c r="V104" s="293"/>
      <c r="W104" s="293"/>
      <c r="X104" s="293"/>
      <c r="Y104" s="293"/>
      <c r="Z104" s="293"/>
    </row>
    <row r="105" spans="1:26">
      <c r="A105" s="299"/>
      <c r="B105" s="296">
        <v>2023</v>
      </c>
      <c r="C105" s="297">
        <f t="shared" si="9"/>
        <v>13.051751834041532</v>
      </c>
      <c r="D105" s="293" t="s">
        <v>152</v>
      </c>
      <c r="E105" s="298">
        <f t="shared" si="10"/>
        <v>36.254866205670922</v>
      </c>
      <c r="F105" s="293" t="s">
        <v>282</v>
      </c>
      <c r="G105" s="293" t="s">
        <v>488</v>
      </c>
      <c r="H105" s="293" t="s">
        <v>273</v>
      </c>
      <c r="I105" s="293"/>
      <c r="J105" s="293"/>
      <c r="K105" s="293"/>
      <c r="L105" s="293"/>
      <c r="M105" s="293"/>
      <c r="N105" s="293"/>
      <c r="O105" s="293"/>
      <c r="P105" s="293"/>
      <c r="Q105" s="293"/>
      <c r="R105" s="293"/>
      <c r="S105" s="293"/>
      <c r="T105" s="293"/>
      <c r="U105" s="293"/>
      <c r="V105" s="293"/>
      <c r="W105" s="293"/>
      <c r="X105" s="293"/>
      <c r="Y105" s="293"/>
      <c r="Z105" s="293"/>
    </row>
    <row r="106" spans="1:26">
      <c r="A106" s="299"/>
      <c r="B106" s="296">
        <v>2024</v>
      </c>
      <c r="C106" s="297">
        <f t="shared" si="9"/>
        <v>12.182032806676219</v>
      </c>
      <c r="D106" s="293" t="s">
        <v>152</v>
      </c>
      <c r="E106" s="298">
        <f t="shared" si="10"/>
        <v>33.838980018545051</v>
      </c>
      <c r="F106" s="293" t="s">
        <v>282</v>
      </c>
      <c r="G106" s="293" t="s">
        <v>488</v>
      </c>
      <c r="H106" s="293" t="s">
        <v>273</v>
      </c>
      <c r="I106" s="293"/>
      <c r="J106" s="293"/>
      <c r="K106" s="293"/>
      <c r="L106" s="293"/>
      <c r="M106" s="293"/>
      <c r="N106" s="293"/>
      <c r="O106" s="293"/>
      <c r="P106" s="293"/>
      <c r="Q106" s="293"/>
      <c r="R106" s="293"/>
      <c r="S106" s="293"/>
      <c r="T106" s="293"/>
      <c r="U106" s="293"/>
      <c r="V106" s="293"/>
      <c r="W106" s="293"/>
      <c r="X106" s="293"/>
      <c r="Y106" s="293"/>
      <c r="Z106" s="293"/>
    </row>
    <row r="107" spans="1:26">
      <c r="A107" s="299"/>
      <c r="B107" s="296">
        <v>2025</v>
      </c>
      <c r="C107" s="297">
        <f t="shared" si="9"/>
        <v>8.9504370807015796</v>
      </c>
      <c r="D107" s="293" t="s">
        <v>152</v>
      </c>
      <c r="E107" s="298">
        <f t="shared" si="10"/>
        <v>24.862325224171055</v>
      </c>
      <c r="F107" s="293" t="s">
        <v>282</v>
      </c>
      <c r="G107" s="293" t="s">
        <v>488</v>
      </c>
      <c r="H107" s="293" t="s">
        <v>273</v>
      </c>
      <c r="I107" s="293"/>
      <c r="J107" s="293"/>
      <c r="K107" s="293"/>
      <c r="L107" s="293"/>
      <c r="M107" s="293"/>
      <c r="N107" s="293"/>
      <c r="O107" s="293"/>
      <c r="P107" s="293"/>
      <c r="Q107" s="293"/>
      <c r="R107" s="293"/>
      <c r="S107" s="293"/>
      <c r="T107" s="293"/>
      <c r="U107" s="293"/>
      <c r="V107" s="293"/>
      <c r="W107" s="293"/>
      <c r="X107" s="293"/>
      <c r="Y107" s="293"/>
      <c r="Z107" s="293"/>
    </row>
    <row r="108" spans="1:26">
      <c r="A108" s="299"/>
      <c r="B108" s="296">
        <v>2026</v>
      </c>
      <c r="C108" s="297">
        <f t="shared" si="9"/>
        <v>7.7185710817667896</v>
      </c>
      <c r="D108" s="293" t="s">
        <v>152</v>
      </c>
      <c r="E108" s="298">
        <f t="shared" si="10"/>
        <v>21.440475227129973</v>
      </c>
      <c r="F108" s="293" t="s">
        <v>282</v>
      </c>
      <c r="G108" s="293" t="s">
        <v>488</v>
      </c>
      <c r="H108" s="293" t="s">
        <v>273</v>
      </c>
      <c r="I108" s="293"/>
      <c r="J108" s="293"/>
      <c r="K108" s="293"/>
      <c r="L108" s="293"/>
      <c r="M108" s="293"/>
      <c r="N108" s="293"/>
      <c r="O108" s="293"/>
      <c r="P108" s="293"/>
      <c r="Q108" s="293"/>
      <c r="R108" s="293"/>
      <c r="S108" s="293" t="s">
        <v>266</v>
      </c>
      <c r="T108" s="293"/>
      <c r="U108" s="293"/>
      <c r="V108" s="293"/>
      <c r="W108" s="293"/>
      <c r="X108" s="293"/>
      <c r="Y108" s="293"/>
      <c r="Z108" s="293"/>
    </row>
    <row r="109" spans="1:26">
      <c r="A109" s="299"/>
      <c r="B109" s="296">
        <v>2027</v>
      </c>
      <c r="C109" s="297">
        <f t="shared" si="9"/>
        <v>6.454875913170369</v>
      </c>
      <c r="D109" s="293" t="s">
        <v>152</v>
      </c>
      <c r="E109" s="298">
        <f t="shared" si="10"/>
        <v>17.930210869917691</v>
      </c>
      <c r="F109" s="293" t="s">
        <v>282</v>
      </c>
      <c r="G109" s="293" t="s">
        <v>488</v>
      </c>
      <c r="H109" s="293" t="s">
        <v>273</v>
      </c>
      <c r="I109" s="293"/>
      <c r="J109" s="293"/>
      <c r="K109" s="293"/>
      <c r="L109" s="293"/>
      <c r="M109" s="293"/>
      <c r="N109" s="293"/>
      <c r="O109" s="293"/>
      <c r="P109" s="293"/>
      <c r="Q109" s="293"/>
      <c r="R109" s="293"/>
      <c r="S109" s="293"/>
      <c r="T109" s="293"/>
      <c r="U109" s="293"/>
      <c r="V109" s="293"/>
      <c r="W109" s="293"/>
      <c r="X109" s="293"/>
      <c r="Y109" s="293"/>
      <c r="Z109" s="293"/>
    </row>
    <row r="110" spans="1:26">
      <c r="A110" s="299"/>
      <c r="B110" s="296">
        <v>2028</v>
      </c>
      <c r="C110" s="297">
        <f t="shared" si="9"/>
        <v>4.9272261671908097</v>
      </c>
      <c r="D110" s="293" t="s">
        <v>152</v>
      </c>
      <c r="E110" s="298">
        <f t="shared" si="10"/>
        <v>13.686739353307805</v>
      </c>
      <c r="F110" s="293" t="s">
        <v>282</v>
      </c>
      <c r="G110" s="293" t="s">
        <v>488</v>
      </c>
      <c r="H110" s="293" t="s">
        <v>273</v>
      </c>
      <c r="I110" s="293"/>
      <c r="J110" s="293"/>
      <c r="K110" s="293"/>
      <c r="L110" s="293"/>
      <c r="M110" s="293"/>
      <c r="N110" s="293"/>
      <c r="O110" s="293"/>
      <c r="P110" s="293"/>
      <c r="Q110" s="293"/>
      <c r="R110" s="293"/>
      <c r="S110" s="293"/>
      <c r="T110" s="293"/>
      <c r="U110" s="293"/>
      <c r="V110" s="293"/>
      <c r="W110" s="293"/>
      <c r="X110" s="293"/>
      <c r="Y110" s="293"/>
      <c r="Z110" s="293"/>
    </row>
    <row r="111" spans="1:26">
      <c r="A111" s="299"/>
      <c r="B111" s="296">
        <v>2029</v>
      </c>
      <c r="C111" s="297">
        <f t="shared" si="9"/>
        <v>3.5848544461606124</v>
      </c>
      <c r="D111" s="293" t="s">
        <v>152</v>
      </c>
      <c r="E111" s="298">
        <f t="shared" si="10"/>
        <v>9.9579290171128125</v>
      </c>
      <c r="F111" s="293" t="s">
        <v>282</v>
      </c>
      <c r="G111" s="293" t="s">
        <v>488</v>
      </c>
      <c r="H111" s="293" t="s">
        <v>273</v>
      </c>
      <c r="I111" s="293"/>
      <c r="J111" s="293"/>
      <c r="K111" s="293"/>
      <c r="L111" s="293"/>
      <c r="M111" s="293"/>
      <c r="N111" s="293"/>
      <c r="O111" s="293"/>
      <c r="P111" s="293"/>
      <c r="Q111" s="293"/>
      <c r="R111" s="293"/>
      <c r="S111" s="293"/>
      <c r="T111" s="293"/>
      <c r="U111" s="293"/>
      <c r="V111" s="293"/>
      <c r="W111" s="293"/>
      <c r="X111" s="293"/>
      <c r="Y111" s="293"/>
      <c r="Z111" s="293"/>
    </row>
    <row r="112" spans="1:26">
      <c r="A112" s="299"/>
      <c r="B112" s="300">
        <v>2030</v>
      </c>
      <c r="C112" s="301">
        <f t="shared" si="9"/>
        <v>2.1872845107583458</v>
      </c>
      <c r="D112" s="302" t="s">
        <v>152</v>
      </c>
      <c r="E112" s="303">
        <f t="shared" si="10"/>
        <v>6.0757903076620723</v>
      </c>
      <c r="F112" s="302" t="s">
        <v>282</v>
      </c>
      <c r="G112" s="302" t="s">
        <v>488</v>
      </c>
      <c r="H112" s="302" t="s">
        <v>273</v>
      </c>
      <c r="I112" s="302"/>
      <c r="J112" s="302"/>
      <c r="K112" s="302"/>
      <c r="L112" s="302"/>
      <c r="M112" s="302"/>
      <c r="N112" s="302"/>
      <c r="O112" s="302"/>
      <c r="P112" s="302"/>
      <c r="Q112" s="302"/>
      <c r="R112" s="302"/>
      <c r="S112" s="302"/>
      <c r="T112" s="302"/>
      <c r="U112" s="302"/>
      <c r="V112" s="302"/>
      <c r="W112" s="302"/>
      <c r="X112" s="302"/>
      <c r="Y112" s="302"/>
      <c r="Z112" s="302"/>
    </row>
    <row r="113" spans="1:26">
      <c r="A113" s="299"/>
      <c r="B113" s="296">
        <v>2018</v>
      </c>
      <c r="C113" s="297">
        <v>13</v>
      </c>
      <c r="D113" s="293" t="s">
        <v>152</v>
      </c>
      <c r="E113" s="298">
        <f t="shared" si="10"/>
        <v>36.111111111111114</v>
      </c>
      <c r="F113" s="293" t="s">
        <v>282</v>
      </c>
      <c r="G113" s="293" t="s">
        <v>283</v>
      </c>
      <c r="H113" s="293" t="s">
        <v>486</v>
      </c>
      <c r="I113" s="293"/>
      <c r="J113" s="293"/>
      <c r="K113" s="293"/>
      <c r="L113" s="293"/>
      <c r="M113" s="293"/>
      <c r="N113" s="293"/>
      <c r="O113" s="293"/>
      <c r="P113" s="293"/>
      <c r="Q113" s="293"/>
      <c r="R113" s="293"/>
      <c r="S113" s="293"/>
      <c r="T113" s="293"/>
      <c r="U113" s="293"/>
      <c r="V113" s="293"/>
      <c r="W113" s="293"/>
      <c r="X113" s="293"/>
      <c r="Y113" s="293"/>
      <c r="Z113" s="293"/>
    </row>
    <row r="114" spans="1:26">
      <c r="A114" s="299"/>
      <c r="B114" s="296">
        <v>2019</v>
      </c>
      <c r="C114" s="297">
        <v>13</v>
      </c>
      <c r="D114" s="293" t="s">
        <v>152</v>
      </c>
      <c r="E114" s="298">
        <f t="shared" si="10"/>
        <v>36.111111111111114</v>
      </c>
      <c r="F114" s="293" t="s">
        <v>282</v>
      </c>
      <c r="G114" s="293" t="s">
        <v>283</v>
      </c>
      <c r="H114" s="293" t="s">
        <v>486</v>
      </c>
      <c r="I114" s="293"/>
      <c r="J114" s="293"/>
      <c r="K114" s="293"/>
      <c r="L114" s="293"/>
      <c r="M114" s="293"/>
      <c r="N114" s="293"/>
      <c r="O114" s="293"/>
      <c r="P114" s="293"/>
      <c r="Q114" s="293"/>
      <c r="R114" s="293"/>
      <c r="S114" s="293"/>
      <c r="T114" s="293"/>
      <c r="U114" s="293"/>
      <c r="V114" s="293"/>
      <c r="W114" s="293"/>
      <c r="X114" s="293"/>
      <c r="Y114" s="293"/>
      <c r="Z114" s="293"/>
    </row>
    <row r="115" spans="1:26">
      <c r="A115" s="299"/>
      <c r="B115" s="300">
        <v>2020</v>
      </c>
      <c r="C115" s="301">
        <v>0</v>
      </c>
      <c r="D115" s="302" t="s">
        <v>152</v>
      </c>
      <c r="E115" s="303">
        <f t="shared" si="10"/>
        <v>0</v>
      </c>
      <c r="F115" s="302" t="s">
        <v>282</v>
      </c>
      <c r="G115" s="302" t="s">
        <v>283</v>
      </c>
      <c r="H115" s="302" t="s">
        <v>486</v>
      </c>
      <c r="I115" s="302"/>
      <c r="J115" s="302"/>
      <c r="K115" s="302"/>
      <c r="L115" s="293"/>
      <c r="M115" s="293"/>
      <c r="N115" s="293"/>
      <c r="O115" s="293"/>
      <c r="P115" s="293"/>
      <c r="Q115" s="293"/>
      <c r="R115" s="293"/>
      <c r="S115" s="293"/>
      <c r="T115" s="293"/>
      <c r="U115" s="293"/>
      <c r="V115" s="293"/>
      <c r="W115" s="293"/>
      <c r="X115" s="293"/>
      <c r="Y115" s="293"/>
      <c r="Z115" s="293"/>
    </row>
    <row r="116" spans="1:26">
      <c r="B116" s="293"/>
      <c r="C116" s="293"/>
      <c r="D116" s="293"/>
      <c r="E116" s="293"/>
      <c r="F116" s="293"/>
      <c r="G116" s="293"/>
      <c r="H116" s="293"/>
      <c r="I116" s="293"/>
      <c r="J116" s="293"/>
      <c r="K116" s="293"/>
      <c r="L116" s="293"/>
      <c r="M116" s="293"/>
      <c r="N116" s="293"/>
      <c r="O116" s="293"/>
      <c r="P116" s="293"/>
      <c r="Q116" s="293"/>
      <c r="R116" s="293"/>
      <c r="S116" s="293"/>
      <c r="T116" s="293"/>
      <c r="U116" s="293"/>
      <c r="V116" s="293"/>
      <c r="W116" s="293"/>
      <c r="X116" s="293"/>
      <c r="Y116" s="293"/>
      <c r="Z116" s="293"/>
    </row>
    <row r="117" spans="1:26">
      <c r="B117" s="293"/>
      <c r="C117" s="293"/>
      <c r="D117" s="293"/>
      <c r="E117" s="293"/>
      <c r="F117" s="293"/>
      <c r="G117" s="293"/>
      <c r="H117" s="293"/>
      <c r="I117" s="293"/>
      <c r="J117" s="293"/>
      <c r="K117" s="293"/>
      <c r="L117" s="293"/>
      <c r="M117" s="293"/>
      <c r="N117" s="293"/>
      <c r="O117" s="293"/>
      <c r="P117" s="293"/>
      <c r="Q117" s="293"/>
      <c r="R117" s="293"/>
      <c r="S117" s="293"/>
      <c r="T117" s="293"/>
      <c r="U117" s="293"/>
      <c r="V117" s="293"/>
      <c r="W117" s="293"/>
      <c r="X117" s="293"/>
      <c r="Y117" s="293"/>
      <c r="Z117" s="293"/>
    </row>
    <row r="119" spans="1:26">
      <c r="V119" s="289" t="s">
        <v>489</v>
      </c>
      <c r="X119" s="289" t="s">
        <v>490</v>
      </c>
    </row>
    <row r="120" spans="1:26" ht="14.4">
      <c r="B120" s="306" t="s">
        <v>459</v>
      </c>
      <c r="C120" s="307"/>
      <c r="D120" s="307"/>
      <c r="E120" s="307"/>
      <c r="F120" s="307"/>
      <c r="G120" s="307"/>
      <c r="H120" s="307"/>
      <c r="K120" s="308"/>
      <c r="L120" s="308"/>
      <c r="V120" s="289" t="s">
        <v>432</v>
      </c>
      <c r="W120" s="289" t="s">
        <v>433</v>
      </c>
    </row>
    <row r="121" spans="1:26" ht="15" thickBot="1">
      <c r="B121" s="309" t="s">
        <v>4</v>
      </c>
      <c r="C121" s="309" t="s">
        <v>5</v>
      </c>
      <c r="D121" s="309" t="s">
        <v>1</v>
      </c>
      <c r="E121" s="310" t="s">
        <v>46</v>
      </c>
      <c r="F121" s="310" t="s">
        <v>7</v>
      </c>
      <c r="G121" s="310" t="s">
        <v>6</v>
      </c>
      <c r="H121" s="311" t="s">
        <v>43</v>
      </c>
      <c r="I121" s="312" t="s">
        <v>432</v>
      </c>
      <c r="J121" s="312" t="s">
        <v>433</v>
      </c>
      <c r="K121" s="313"/>
      <c r="L121" s="313" t="s">
        <v>14</v>
      </c>
      <c r="M121" s="289" t="s">
        <v>274</v>
      </c>
      <c r="U121" s="289">
        <v>2015</v>
      </c>
      <c r="V121" s="314">
        <v>175.17966514824872</v>
      </c>
      <c r="W121" s="314">
        <v>170.21551095981323</v>
      </c>
    </row>
    <row r="122" spans="1:26" ht="14.4">
      <c r="B122" s="315"/>
      <c r="C122" s="315" t="s">
        <v>48</v>
      </c>
      <c r="D122" s="316">
        <f>$B$188</f>
        <v>2010</v>
      </c>
      <c r="E122" s="316" t="s">
        <v>219</v>
      </c>
      <c r="F122" s="315" t="str">
        <f>C188</f>
        <v>ERWINWON1E</v>
      </c>
      <c r="G122" s="315" t="s">
        <v>53</v>
      </c>
      <c r="H122" s="317" t="s">
        <v>285</v>
      </c>
      <c r="I122" s="318">
        <f>E8</f>
        <v>61.018518518518519</v>
      </c>
      <c r="J122" s="318">
        <f>E23</f>
        <v>61.018518518518519</v>
      </c>
      <c r="K122" s="315"/>
      <c r="L122" s="315" t="s">
        <v>259</v>
      </c>
      <c r="U122" s="289">
        <v>2016</v>
      </c>
      <c r="V122" s="314">
        <v>189.82326814041977</v>
      </c>
      <c r="W122" s="314">
        <v>185.642510825004</v>
      </c>
    </row>
    <row r="123" spans="1:26" ht="14.4">
      <c r="B123" s="315"/>
      <c r="C123" s="315" t="s">
        <v>48</v>
      </c>
      <c r="D123" s="316">
        <f>D122+7</f>
        <v>2017</v>
      </c>
      <c r="E123" s="316" t="s">
        <v>219</v>
      </c>
      <c r="F123" s="315" t="str">
        <f>F122</f>
        <v>ERWINWON1E</v>
      </c>
      <c r="G123" s="315" t="s">
        <v>53</v>
      </c>
      <c r="H123" s="317" t="s">
        <v>285</v>
      </c>
      <c r="I123" s="318">
        <f>I122</f>
        <v>61.018518518518519</v>
      </c>
      <c r="J123" s="318">
        <f>J122</f>
        <v>61.018518518518519</v>
      </c>
      <c r="K123" s="315"/>
      <c r="L123" s="315" t="s">
        <v>259</v>
      </c>
      <c r="M123" s="289" t="s">
        <v>277</v>
      </c>
      <c r="U123" s="289">
        <v>2017</v>
      </c>
      <c r="V123" s="314">
        <v>189.65346323929171</v>
      </c>
      <c r="W123" s="314">
        <v>183.81836110096398</v>
      </c>
    </row>
    <row r="124" spans="1:26" ht="14.4">
      <c r="B124" s="319"/>
      <c r="C124" s="319" t="s">
        <v>48</v>
      </c>
      <c r="D124" s="320">
        <f>D123+1</f>
        <v>2018</v>
      </c>
      <c r="E124" s="320" t="s">
        <v>219</v>
      </c>
      <c r="F124" s="319" t="str">
        <f>F123</f>
        <v>ERWINWON1E</v>
      </c>
      <c r="G124" s="319" t="s">
        <v>53</v>
      </c>
      <c r="H124" s="321" t="s">
        <v>285</v>
      </c>
      <c r="I124" s="322">
        <v>0</v>
      </c>
      <c r="J124" s="322">
        <f>I124</f>
        <v>0</v>
      </c>
      <c r="K124" s="319"/>
      <c r="L124" s="319" t="s">
        <v>259</v>
      </c>
      <c r="U124" s="289">
        <v>2018</v>
      </c>
      <c r="V124" s="314">
        <v>188.9006243900283</v>
      </c>
      <c r="W124" s="314">
        <v>180.8770164598952</v>
      </c>
    </row>
    <row r="125" spans="1:26" ht="14.4">
      <c r="B125" s="315"/>
      <c r="C125" s="315" t="s">
        <v>48</v>
      </c>
      <c r="D125" s="316">
        <v>2012</v>
      </c>
      <c r="E125" s="316" t="s">
        <v>219</v>
      </c>
      <c r="F125" s="315" t="str">
        <f>N190</f>
        <v>ERWINWON1N</v>
      </c>
      <c r="G125" s="315" t="s">
        <v>53</v>
      </c>
      <c r="H125" s="317" t="s">
        <v>285</v>
      </c>
      <c r="I125" s="318">
        <f>E9</f>
        <v>74.444444444444457</v>
      </c>
      <c r="J125" s="318">
        <f>E24</f>
        <v>74.444444444444457</v>
      </c>
      <c r="K125" s="315"/>
      <c r="L125" s="315" t="s">
        <v>259</v>
      </c>
      <c r="U125" s="289">
        <v>2019</v>
      </c>
      <c r="V125" s="314">
        <v>201.28887811311466</v>
      </c>
      <c r="W125" s="314">
        <v>184.37622975241305</v>
      </c>
    </row>
    <row r="126" spans="1:26" ht="14.4">
      <c r="B126" s="315"/>
      <c r="C126" s="315" t="s">
        <v>48</v>
      </c>
      <c r="D126" s="316">
        <f>D125+7</f>
        <v>2019</v>
      </c>
      <c r="E126" s="316" t="s">
        <v>219</v>
      </c>
      <c r="F126" s="315" t="str">
        <f>F125</f>
        <v>ERWINWON1N</v>
      </c>
      <c r="G126" s="315" t="s">
        <v>53</v>
      </c>
      <c r="H126" s="317" t="s">
        <v>285</v>
      </c>
      <c r="I126" s="318">
        <f>E9</f>
        <v>74.444444444444457</v>
      </c>
      <c r="J126" s="318">
        <f>E26</f>
        <v>74.444444444444457</v>
      </c>
      <c r="K126" s="315"/>
      <c r="L126" s="315" t="s">
        <v>259</v>
      </c>
      <c r="M126" s="289" t="s">
        <v>277</v>
      </c>
      <c r="U126" s="289">
        <v>2020</v>
      </c>
      <c r="V126" s="314">
        <v>221.96263004557213</v>
      </c>
      <c r="W126" s="314">
        <v>213.47303260357947</v>
      </c>
    </row>
    <row r="127" spans="1:26" ht="14.4">
      <c r="B127" s="319"/>
      <c r="C127" s="319" t="s">
        <v>48</v>
      </c>
      <c r="D127" s="320">
        <f>D126+1</f>
        <v>2020</v>
      </c>
      <c r="E127" s="320" t="s">
        <v>219</v>
      </c>
      <c r="F127" s="319" t="str">
        <f>F126</f>
        <v>ERWINWON1N</v>
      </c>
      <c r="G127" s="319" t="s">
        <v>53</v>
      </c>
      <c r="H127" s="321" t="s">
        <v>285</v>
      </c>
      <c r="I127" s="322">
        <v>0</v>
      </c>
      <c r="J127" s="322">
        <f>I127</f>
        <v>0</v>
      </c>
      <c r="K127" s="319"/>
      <c r="L127" s="319" t="s">
        <v>259</v>
      </c>
      <c r="U127" s="289">
        <v>2021</v>
      </c>
      <c r="V127" s="314">
        <v>245.82938144409297</v>
      </c>
      <c r="W127" s="314">
        <v>235.4131876939652</v>
      </c>
    </row>
    <row r="128" spans="1:26" ht="14.4">
      <c r="B128" s="315"/>
      <c r="C128" s="315" t="s">
        <v>48</v>
      </c>
      <c r="D128" s="316">
        <v>2015</v>
      </c>
      <c r="E128" s="316" t="s">
        <v>219</v>
      </c>
      <c r="F128" s="315" t="str">
        <f>N191</f>
        <v>ERWINWON2N</v>
      </c>
      <c r="G128" s="315" t="s">
        <v>53</v>
      </c>
      <c r="H128" s="317" t="s">
        <v>285</v>
      </c>
      <c r="I128" s="318">
        <f>E9</f>
        <v>74.444444444444457</v>
      </c>
      <c r="J128" s="318">
        <f>E9</f>
        <v>74.444444444444457</v>
      </c>
      <c r="K128" s="315"/>
      <c r="L128" s="315" t="s">
        <v>259</v>
      </c>
      <c r="U128" s="289">
        <v>2022</v>
      </c>
      <c r="V128" s="314">
        <v>259.29885381550019</v>
      </c>
      <c r="W128" s="314">
        <v>250.37544971005485</v>
      </c>
    </row>
    <row r="129" spans="2:23" ht="14.4">
      <c r="B129" s="315"/>
      <c r="C129" s="315" t="s">
        <v>48</v>
      </c>
      <c r="D129" s="316">
        <f>D128+7</f>
        <v>2022</v>
      </c>
      <c r="E129" s="316" t="s">
        <v>219</v>
      </c>
      <c r="F129" s="315" t="str">
        <f>F128</f>
        <v>ERWINWON2N</v>
      </c>
      <c r="G129" s="315" t="s">
        <v>53</v>
      </c>
      <c r="H129" s="317" t="s">
        <v>285</v>
      </c>
      <c r="I129" s="318">
        <f>E10</f>
        <v>74.444444444444457</v>
      </c>
      <c r="J129" s="318">
        <f>E29</f>
        <v>74.444444444444457</v>
      </c>
      <c r="K129" s="315"/>
      <c r="L129" s="315" t="s">
        <v>259</v>
      </c>
      <c r="M129" s="289" t="s">
        <v>277</v>
      </c>
      <c r="U129" s="289">
        <v>2023</v>
      </c>
      <c r="V129" s="314">
        <v>276.73754925267508</v>
      </c>
      <c r="W129" s="314">
        <v>269.48248165958466</v>
      </c>
    </row>
    <row r="130" spans="2:23" ht="14.4">
      <c r="B130" s="319"/>
      <c r="C130" s="319" t="s">
        <v>48</v>
      </c>
      <c r="D130" s="320">
        <f>D129+1</f>
        <v>2023</v>
      </c>
      <c r="E130" s="320" t="s">
        <v>219</v>
      </c>
      <c r="F130" s="319" t="str">
        <f>F129</f>
        <v>ERWINWON2N</v>
      </c>
      <c r="G130" s="319" t="s">
        <v>53</v>
      </c>
      <c r="H130" s="321" t="s">
        <v>285</v>
      </c>
      <c r="I130" s="322">
        <v>0</v>
      </c>
      <c r="J130" s="322">
        <f t="shared" ref="J130:J136" si="11">I130</f>
        <v>0</v>
      </c>
      <c r="K130" s="319"/>
      <c r="L130" s="319" t="s">
        <v>259</v>
      </c>
      <c r="U130" s="289">
        <v>2024</v>
      </c>
      <c r="V130" s="314">
        <v>283.22950317803168</v>
      </c>
      <c r="W130" s="314">
        <v>278.17967193323784</v>
      </c>
    </row>
    <row r="131" spans="2:23" ht="14.4">
      <c r="B131" s="293"/>
      <c r="C131" s="293" t="s">
        <v>48</v>
      </c>
      <c r="D131" s="323">
        <f>$B$188</f>
        <v>2010</v>
      </c>
      <c r="E131" s="323" t="s">
        <v>219</v>
      </c>
      <c r="F131" s="293" t="str">
        <f>D188</f>
        <v>ERWINWOF1E</v>
      </c>
      <c r="G131" s="293" t="s">
        <v>53</v>
      </c>
      <c r="H131" s="324" t="s">
        <v>285</v>
      </c>
      <c r="I131" s="325">
        <f>E42</f>
        <v>122.03703703703704</v>
      </c>
      <c r="J131" s="325">
        <f t="shared" si="11"/>
        <v>122.03703703703704</v>
      </c>
      <c r="K131" s="293"/>
      <c r="L131" s="293" t="s">
        <v>220</v>
      </c>
      <c r="U131" s="289">
        <v>2025</v>
      </c>
      <c r="V131" s="314">
        <v>307.67668814616815</v>
      </c>
      <c r="W131" s="314">
        <v>310.49562919298421</v>
      </c>
    </row>
    <row r="132" spans="2:23" ht="14.4">
      <c r="B132" s="293"/>
      <c r="C132" s="293" t="s">
        <v>48</v>
      </c>
      <c r="D132" s="323">
        <f>D131+9</f>
        <v>2019</v>
      </c>
      <c r="E132" s="323" t="s">
        <v>219</v>
      </c>
      <c r="F132" s="293" t="str">
        <f>F131</f>
        <v>ERWINWOF1E</v>
      </c>
      <c r="G132" s="293" t="s">
        <v>53</v>
      </c>
      <c r="H132" s="324" t="s">
        <v>285</v>
      </c>
      <c r="I132" s="325">
        <f>E45*2</f>
        <v>148.88888888888891</v>
      </c>
      <c r="J132" s="325">
        <f t="shared" si="11"/>
        <v>148.88888888888891</v>
      </c>
      <c r="K132" s="293"/>
      <c r="L132" s="293" t="s">
        <v>220</v>
      </c>
      <c r="M132" s="289" t="s">
        <v>277</v>
      </c>
      <c r="U132" s="289">
        <v>2026</v>
      </c>
      <c r="V132" s="314">
        <v>319.78495540131155</v>
      </c>
      <c r="W132" s="314">
        <v>322.81428918233212</v>
      </c>
    </row>
    <row r="133" spans="2:23" ht="14.4">
      <c r="B133" s="302"/>
      <c r="C133" s="302" t="s">
        <v>48</v>
      </c>
      <c r="D133" s="326">
        <f>D132+1</f>
        <v>2020</v>
      </c>
      <c r="E133" s="326" t="s">
        <v>219</v>
      </c>
      <c r="F133" s="302" t="str">
        <f>F132</f>
        <v>ERWINWOF1E</v>
      </c>
      <c r="G133" s="302" t="s">
        <v>53</v>
      </c>
      <c r="H133" s="327" t="s">
        <v>285</v>
      </c>
      <c r="I133" s="328">
        <v>0</v>
      </c>
      <c r="J133" s="328">
        <f t="shared" si="11"/>
        <v>0</v>
      </c>
      <c r="K133" s="302"/>
      <c r="L133" s="302" t="s">
        <v>220</v>
      </c>
      <c r="U133" s="289">
        <v>2027</v>
      </c>
      <c r="V133" s="314">
        <v>332.17602056899318</v>
      </c>
      <c r="W133" s="314">
        <v>335.45124086829634</v>
      </c>
    </row>
    <row r="134" spans="2:23" ht="14.4">
      <c r="B134" s="293"/>
      <c r="C134" s="293" t="s">
        <v>48</v>
      </c>
      <c r="D134" s="323">
        <v>2012</v>
      </c>
      <c r="E134" s="323" t="s">
        <v>219</v>
      </c>
      <c r="F134" s="293" t="str">
        <f>L190</f>
        <v>ERWINWOF1N</v>
      </c>
      <c r="G134" s="293" t="s">
        <v>53</v>
      </c>
      <c r="H134" s="324" t="s">
        <v>285</v>
      </c>
      <c r="I134" s="325">
        <f>E43</f>
        <v>244.66235806671855</v>
      </c>
      <c r="J134" s="325">
        <f t="shared" si="11"/>
        <v>244.66235806671855</v>
      </c>
      <c r="K134" s="293"/>
      <c r="L134" s="293" t="s">
        <v>220</v>
      </c>
      <c r="U134" s="289">
        <v>2028</v>
      </c>
      <c r="V134" s="314">
        <v>349.79596542785299</v>
      </c>
      <c r="W134" s="314">
        <v>350.7277383280919</v>
      </c>
    </row>
    <row r="135" spans="2:23" ht="14.4">
      <c r="B135" s="293"/>
      <c r="C135" s="293" t="s">
        <v>48</v>
      </c>
      <c r="D135" s="323">
        <f>D134+10</f>
        <v>2022</v>
      </c>
      <c r="E135" s="323" t="s">
        <v>219</v>
      </c>
      <c r="F135" s="293" t="str">
        <f>F134</f>
        <v>ERWINWOF1N</v>
      </c>
      <c r="G135" s="293" t="s">
        <v>53</v>
      </c>
      <c r="H135" s="324" t="s">
        <v>285</v>
      </c>
      <c r="I135" s="325">
        <f>E44</f>
        <v>217.08819953900428</v>
      </c>
      <c r="J135" s="325">
        <f t="shared" si="11"/>
        <v>217.08819953900428</v>
      </c>
      <c r="K135" s="293"/>
      <c r="L135" s="293" t="s">
        <v>220</v>
      </c>
      <c r="M135" s="289" t="s">
        <v>277</v>
      </c>
      <c r="U135" s="289">
        <v>2029</v>
      </c>
      <c r="V135" s="314">
        <v>365.15565538433918</v>
      </c>
      <c r="W135" s="314">
        <v>364.15145553839386</v>
      </c>
    </row>
    <row r="136" spans="2:23" ht="14.4">
      <c r="B136" s="302"/>
      <c r="C136" s="302" t="s">
        <v>48</v>
      </c>
      <c r="D136" s="326">
        <f>D135+1</f>
        <v>2023</v>
      </c>
      <c r="E136" s="326" t="s">
        <v>219</v>
      </c>
      <c r="F136" s="302" t="str">
        <f>F135</f>
        <v>ERWINWOF1N</v>
      </c>
      <c r="G136" s="302" t="s">
        <v>53</v>
      </c>
      <c r="H136" s="327" t="s">
        <v>285</v>
      </c>
      <c r="I136" s="328">
        <v>0</v>
      </c>
      <c r="J136" s="328">
        <f t="shared" si="11"/>
        <v>0</v>
      </c>
      <c r="K136" s="302"/>
      <c r="L136" s="302" t="s">
        <v>220</v>
      </c>
      <c r="U136" s="289">
        <v>2030</v>
      </c>
      <c r="V136" s="314">
        <v>379.84781956592229</v>
      </c>
      <c r="W136" s="314">
        <v>378.12715489241657</v>
      </c>
    </row>
    <row r="137" spans="2:23" ht="13.2">
      <c r="B137" s="293"/>
      <c r="C137" s="293" t="s">
        <v>48</v>
      </c>
      <c r="D137" s="323">
        <f>$B$191</f>
        <v>2020</v>
      </c>
      <c r="E137" s="323" t="s">
        <v>219</v>
      </c>
      <c r="F137" s="293" t="str">
        <f>M192</f>
        <v>ERWINWOF3P</v>
      </c>
      <c r="G137" s="293" t="s">
        <v>53</v>
      </c>
      <c r="H137" s="324" t="s">
        <v>285</v>
      </c>
      <c r="I137" s="325">
        <f>E48</f>
        <v>103.33333333333334</v>
      </c>
      <c r="J137" s="325">
        <f>E46</f>
        <v>152.23260276511886</v>
      </c>
      <c r="K137" s="293"/>
      <c r="L137" s="293" t="s">
        <v>220</v>
      </c>
    </row>
    <row r="138" spans="2:23" ht="13.2">
      <c r="B138" s="293"/>
      <c r="C138" s="293" t="s">
        <v>48</v>
      </c>
      <c r="D138" s="323">
        <f>D137+10</f>
        <v>2030</v>
      </c>
      <c r="E138" s="323" t="s">
        <v>219</v>
      </c>
      <c r="F138" s="293" t="str">
        <f>F137</f>
        <v>ERWINWOF3P</v>
      </c>
      <c r="G138" s="293" t="s">
        <v>53</v>
      </c>
      <c r="H138" s="324" t="s">
        <v>285</v>
      </c>
      <c r="I138" s="325">
        <f>E48</f>
        <v>103.33333333333334</v>
      </c>
      <c r="J138" s="325">
        <f>E47</f>
        <v>108.85356808543986</v>
      </c>
      <c r="K138" s="293"/>
      <c r="L138" s="293" t="s">
        <v>220</v>
      </c>
      <c r="M138" s="289" t="s">
        <v>277</v>
      </c>
    </row>
    <row r="139" spans="2:23" ht="13.2">
      <c r="B139" s="302"/>
      <c r="C139" s="302" t="s">
        <v>48</v>
      </c>
      <c r="D139" s="326">
        <f>D138+1</f>
        <v>2031</v>
      </c>
      <c r="E139" s="326" t="s">
        <v>219</v>
      </c>
      <c r="F139" s="302" t="str">
        <f>F138</f>
        <v>ERWINWOF3P</v>
      </c>
      <c r="G139" s="302" t="s">
        <v>53</v>
      </c>
      <c r="H139" s="327" t="s">
        <v>285</v>
      </c>
      <c r="I139" s="302">
        <v>0</v>
      </c>
      <c r="J139" s="302">
        <v>0</v>
      </c>
      <c r="K139" s="302"/>
      <c r="L139" s="302" t="s">
        <v>220</v>
      </c>
    </row>
    <row r="140" spans="2:23" ht="13.2">
      <c r="B140" s="329"/>
      <c r="C140" s="329" t="s">
        <v>48</v>
      </c>
      <c r="D140" s="330">
        <f>$B$188</f>
        <v>2010</v>
      </c>
      <c r="E140" s="330" t="s">
        <v>219</v>
      </c>
      <c r="F140" s="329" t="str">
        <f>E188</f>
        <v>ERSOLPVO1E</v>
      </c>
      <c r="G140" s="329" t="s">
        <v>54</v>
      </c>
      <c r="H140" s="331" t="s">
        <v>285</v>
      </c>
      <c r="I140" s="332">
        <f>E53</f>
        <v>118.00564856993093</v>
      </c>
      <c r="J140" s="332">
        <f>E68</f>
        <v>119.38458028894078</v>
      </c>
      <c r="K140" s="329"/>
      <c r="L140" s="329" t="s">
        <v>260</v>
      </c>
    </row>
    <row r="141" spans="2:23" ht="13.2">
      <c r="B141" s="329"/>
      <c r="C141" s="329" t="s">
        <v>48</v>
      </c>
      <c r="D141" s="330">
        <f>D140+9</f>
        <v>2019</v>
      </c>
      <c r="E141" s="330" t="str">
        <f>E140</f>
        <v>ELE</v>
      </c>
      <c r="F141" s="329" t="str">
        <f>F140</f>
        <v>ERSOLPVO1E</v>
      </c>
      <c r="G141" s="329" t="str">
        <f>G140</f>
        <v>ELCSOL</v>
      </c>
      <c r="H141" s="331" t="str">
        <f>H140</f>
        <v>MKr15</v>
      </c>
      <c r="I141" s="332">
        <f>E56</f>
        <v>110.75308941302372</v>
      </c>
      <c r="J141" s="332">
        <f>E71</f>
        <v>115.45104729099637</v>
      </c>
      <c r="K141" s="329"/>
      <c r="L141" s="329" t="s">
        <v>260</v>
      </c>
    </row>
    <row r="142" spans="2:23" ht="13.2">
      <c r="B142" s="329"/>
      <c r="C142" s="329" t="s">
        <v>48</v>
      </c>
      <c r="D142" s="330">
        <f>D141+1</f>
        <v>2020</v>
      </c>
      <c r="E142" s="330" t="s">
        <v>219</v>
      </c>
      <c r="F142" s="329" t="str">
        <f>F140</f>
        <v>ERSOLPVO1E</v>
      </c>
      <c r="G142" s="329" t="s">
        <v>54</v>
      </c>
      <c r="H142" s="331" t="str">
        <f>H141</f>
        <v>MKr15</v>
      </c>
      <c r="I142" s="332">
        <f>E87</f>
        <v>49.454824987341091</v>
      </c>
      <c r="J142" s="332">
        <f>E102</f>
        <v>51.813046499005708</v>
      </c>
      <c r="K142" s="329"/>
      <c r="L142" s="329" t="s">
        <v>260</v>
      </c>
      <c r="M142" s="289" t="s">
        <v>278</v>
      </c>
    </row>
    <row r="143" spans="2:23" ht="13.2">
      <c r="B143" s="329"/>
      <c r="C143" s="329" t="str">
        <f>C142</f>
        <v>FLO_SUB</v>
      </c>
      <c r="D143" s="330">
        <f>D141+10</f>
        <v>2029</v>
      </c>
      <c r="E143" s="330" t="str">
        <f>E142</f>
        <v>ELE</v>
      </c>
      <c r="F143" s="329" t="str">
        <f>F142</f>
        <v>ERSOLPVO1E</v>
      </c>
      <c r="G143" s="329" t="str">
        <f>G142</f>
        <v>ELCSOL</v>
      </c>
      <c r="H143" s="331" t="str">
        <f>H142</f>
        <v>MKr15</v>
      </c>
      <c r="I143" s="332">
        <f>E96</f>
        <v>9.6789846154613386</v>
      </c>
      <c r="J143" s="332">
        <f>E111</f>
        <v>9.9579290171128125</v>
      </c>
      <c r="K143" s="329"/>
      <c r="L143" s="329" t="s">
        <v>260</v>
      </c>
    </row>
    <row r="144" spans="2:23" ht="13.2">
      <c r="B144" s="333"/>
      <c r="C144" s="333" t="s">
        <v>48</v>
      </c>
      <c r="D144" s="334">
        <f>D143+1</f>
        <v>2030</v>
      </c>
      <c r="E144" s="334" t="s">
        <v>219</v>
      </c>
      <c r="F144" s="333" t="str">
        <f>F142</f>
        <v>ERSOLPVO1E</v>
      </c>
      <c r="G144" s="333" t="s">
        <v>54</v>
      </c>
      <c r="H144" s="335" t="s">
        <v>285</v>
      </c>
      <c r="I144" s="336">
        <v>0</v>
      </c>
      <c r="J144" s="336">
        <f>I144</f>
        <v>0</v>
      </c>
      <c r="K144" s="333"/>
      <c r="L144" s="333" t="s">
        <v>260</v>
      </c>
    </row>
    <row r="145" spans="2:25" ht="13.2">
      <c r="B145" s="329"/>
      <c r="C145" s="329" t="s">
        <v>48</v>
      </c>
      <c r="D145" s="330">
        <v>2012</v>
      </c>
      <c r="E145" s="330" t="s">
        <v>219</v>
      </c>
      <c r="F145" s="329" t="str">
        <f>I190</f>
        <v>ERSOLPVO1N</v>
      </c>
      <c r="G145" s="329" t="s">
        <v>54</v>
      </c>
      <c r="H145" s="331" t="s">
        <v>285</v>
      </c>
      <c r="I145" s="332">
        <f>E53</f>
        <v>118.00564856993093</v>
      </c>
      <c r="J145" s="332">
        <f>E68</f>
        <v>119.38458028894078</v>
      </c>
      <c r="K145" s="329"/>
      <c r="L145" s="329" t="s">
        <v>260</v>
      </c>
    </row>
    <row r="146" spans="2:25" ht="13.2">
      <c r="B146" s="329"/>
      <c r="C146" s="329" t="s">
        <v>48</v>
      </c>
      <c r="D146" s="330">
        <f>D145+9</f>
        <v>2021</v>
      </c>
      <c r="E146" s="330" t="str">
        <f>E145</f>
        <v>ELE</v>
      </c>
      <c r="F146" s="329" t="str">
        <f>F145</f>
        <v>ERSOLPVO1N</v>
      </c>
      <c r="G146" s="329" t="str">
        <f>G145</f>
        <v>ELCSOL</v>
      </c>
      <c r="H146" s="331" t="str">
        <f>H145</f>
        <v>MKr15</v>
      </c>
      <c r="I146" s="332">
        <f>E58</f>
        <v>98.380727376640849</v>
      </c>
      <c r="J146" s="332">
        <f>E73</f>
        <v>101.27411452945411</v>
      </c>
      <c r="K146" s="329"/>
      <c r="L146" s="329" t="s">
        <v>260</v>
      </c>
    </row>
    <row r="147" spans="2:25" ht="13.2">
      <c r="B147" s="329"/>
      <c r="C147" s="329" t="s">
        <v>48</v>
      </c>
      <c r="D147" s="330">
        <f>D146+1</f>
        <v>2022</v>
      </c>
      <c r="E147" s="330" t="s">
        <v>219</v>
      </c>
      <c r="F147" s="329" t="str">
        <f>F145</f>
        <v>ERSOLPVO1N</v>
      </c>
      <c r="G147" s="329" t="s">
        <v>54</v>
      </c>
      <c r="H147" s="331" t="str">
        <f>H146</f>
        <v>MKr15</v>
      </c>
      <c r="I147" s="332">
        <f>E89</f>
        <v>39.083651717916602</v>
      </c>
      <c r="J147" s="332">
        <f>E104</f>
        <v>41.562375080540313</v>
      </c>
      <c r="K147" s="329"/>
      <c r="L147" s="329" t="s">
        <v>260</v>
      </c>
      <c r="M147" s="289" t="s">
        <v>278</v>
      </c>
    </row>
    <row r="148" spans="2:25" ht="13.2">
      <c r="B148" s="329"/>
      <c r="C148" s="329" t="str">
        <f>C147</f>
        <v>FLO_SUB</v>
      </c>
      <c r="D148" s="330">
        <f>D146+10</f>
        <v>2031</v>
      </c>
      <c r="E148" s="330" t="str">
        <f>E147</f>
        <v>ELE</v>
      </c>
      <c r="F148" s="329" t="str">
        <f>F147</f>
        <v>ERSOLPVO1N</v>
      </c>
      <c r="G148" s="329" t="str">
        <f>G147</f>
        <v>ELCSOL</v>
      </c>
      <c r="H148" s="331" t="str">
        <f>H147</f>
        <v>MKr15</v>
      </c>
      <c r="I148" s="332">
        <f>E97</f>
        <v>5.5978278983549181</v>
      </c>
      <c r="J148" s="332">
        <f>E112</f>
        <v>6.0757903076620723</v>
      </c>
      <c r="K148" s="329"/>
      <c r="L148" s="329" t="s">
        <v>260</v>
      </c>
    </row>
    <row r="149" spans="2:25" ht="13.2">
      <c r="B149" s="333"/>
      <c r="C149" s="333" t="s">
        <v>48</v>
      </c>
      <c r="D149" s="334">
        <f>D148+1</f>
        <v>2032</v>
      </c>
      <c r="E149" s="334" t="s">
        <v>219</v>
      </c>
      <c r="F149" s="333" t="str">
        <f>F147</f>
        <v>ERSOLPVO1N</v>
      </c>
      <c r="G149" s="333" t="s">
        <v>54</v>
      </c>
      <c r="H149" s="335" t="s">
        <v>285</v>
      </c>
      <c r="I149" s="336">
        <v>0</v>
      </c>
      <c r="J149" s="336">
        <f>I149</f>
        <v>0</v>
      </c>
      <c r="K149" s="333"/>
      <c r="L149" s="333" t="s">
        <v>260</v>
      </c>
    </row>
    <row r="150" spans="2:25" ht="13.2">
      <c r="B150" s="329"/>
      <c r="C150" s="329" t="s">
        <v>48</v>
      </c>
      <c r="D150" s="330">
        <f>$B$190</f>
        <v>2015</v>
      </c>
      <c r="E150" s="330" t="s">
        <v>219</v>
      </c>
      <c r="F150" s="329" t="str">
        <f>I191</f>
        <v>ERSOLPVO2N</v>
      </c>
      <c r="G150" s="329" t="s">
        <v>54</v>
      </c>
      <c r="H150" s="331" t="s">
        <v>285</v>
      </c>
      <c r="I150" s="332">
        <f>E54</f>
        <v>118.00564856993093</v>
      </c>
      <c r="J150" s="332">
        <f>E69</f>
        <v>119.38458028894078</v>
      </c>
      <c r="K150" s="329"/>
      <c r="L150" s="329" t="s">
        <v>260</v>
      </c>
    </row>
    <row r="151" spans="2:25" ht="13.2">
      <c r="B151" s="329"/>
      <c r="C151" s="329" t="str">
        <f>C150</f>
        <v>FLO_SUB</v>
      </c>
      <c r="D151" s="330">
        <f>D150+9</f>
        <v>2024</v>
      </c>
      <c r="E151" s="330" t="str">
        <f>E150</f>
        <v>ELE</v>
      </c>
      <c r="F151" s="329" t="str">
        <f>F150</f>
        <v>ERSOLPVO2N</v>
      </c>
      <c r="G151" s="329" t="str">
        <f>G150</f>
        <v>ELCSOL</v>
      </c>
      <c r="H151" s="331" t="str">
        <f>H150</f>
        <v>MKr15</v>
      </c>
      <c r="I151" s="332">
        <f>E61</f>
        <v>87.991804672768978</v>
      </c>
      <c r="J151" s="332">
        <f>E76</f>
        <v>89.394535574100615</v>
      </c>
      <c r="K151" s="329"/>
      <c r="L151" s="329" t="str">
        <f>L150</f>
        <v>Solar PV</v>
      </c>
    </row>
    <row r="152" spans="2:25" ht="13.2">
      <c r="B152" s="329"/>
      <c r="C152" s="329" t="s">
        <v>48</v>
      </c>
      <c r="D152" s="330">
        <f>D151+1</f>
        <v>2025</v>
      </c>
      <c r="E152" s="330" t="s">
        <v>219</v>
      </c>
      <c r="F152" s="329" t="str">
        <f>F150</f>
        <v>ERSOLPVO2N</v>
      </c>
      <c r="G152" s="329" t="s">
        <v>54</v>
      </c>
      <c r="H152" s="331" t="str">
        <f>H151</f>
        <v>MKr15</v>
      </c>
      <c r="I152" s="332">
        <f>E92</f>
        <v>25.64536440384218</v>
      </c>
      <c r="J152" s="332">
        <f>E107</f>
        <v>24.862325224171055</v>
      </c>
      <c r="K152" s="329"/>
      <c r="L152" s="329" t="s">
        <v>260</v>
      </c>
      <c r="M152" s="289" t="s">
        <v>278</v>
      </c>
    </row>
    <row r="153" spans="2:25" ht="13.2">
      <c r="B153" s="329"/>
      <c r="C153" s="329" t="str">
        <f>C152</f>
        <v>FLO_SUB</v>
      </c>
      <c r="D153" s="330">
        <f>D151+10</f>
        <v>2034</v>
      </c>
      <c r="E153" s="330" t="str">
        <f>E152</f>
        <v>ELE</v>
      </c>
      <c r="F153" s="329" t="str">
        <f>F152</f>
        <v>ERSOLPVO2N</v>
      </c>
      <c r="G153" s="329" t="str">
        <f>G152</f>
        <v>ELCSOL</v>
      </c>
      <c r="H153" s="331" t="str">
        <f>H152</f>
        <v>MKr15</v>
      </c>
      <c r="I153" s="332">
        <f>E97</f>
        <v>5.5978278983549181</v>
      </c>
      <c r="J153" s="332">
        <f>E112</f>
        <v>6.0757903076620723</v>
      </c>
      <c r="K153" s="329"/>
      <c r="L153" s="329" t="str">
        <f>L152</f>
        <v>Solar PV</v>
      </c>
    </row>
    <row r="154" spans="2:25" ht="13.2">
      <c r="B154" s="333"/>
      <c r="C154" s="333" t="s">
        <v>48</v>
      </c>
      <c r="D154" s="334">
        <f>D153+1</f>
        <v>2035</v>
      </c>
      <c r="E154" s="334" t="s">
        <v>219</v>
      </c>
      <c r="F154" s="333" t="str">
        <f>F152</f>
        <v>ERSOLPVO2N</v>
      </c>
      <c r="G154" s="333" t="s">
        <v>54</v>
      </c>
      <c r="H154" s="335" t="s">
        <v>285</v>
      </c>
      <c r="I154" s="333">
        <v>0</v>
      </c>
      <c r="J154" s="333">
        <f>I154</f>
        <v>0</v>
      </c>
      <c r="K154" s="333"/>
      <c r="L154" s="333" t="s">
        <v>260</v>
      </c>
    </row>
    <row r="155" spans="2:25" ht="13.2">
      <c r="B155" s="337"/>
      <c r="C155" s="337" t="s">
        <v>48</v>
      </c>
      <c r="D155" s="338">
        <v>2018</v>
      </c>
      <c r="E155" s="338" t="s">
        <v>219</v>
      </c>
      <c r="F155" s="337" t="s">
        <v>444</v>
      </c>
      <c r="G155" s="337" t="s">
        <v>53</v>
      </c>
      <c r="H155" s="339" t="s">
        <v>285</v>
      </c>
      <c r="I155" s="340">
        <f>E38</f>
        <v>36.111111111111114</v>
      </c>
      <c r="J155" s="340">
        <f>E38</f>
        <v>36.111111111111114</v>
      </c>
      <c r="K155" s="337"/>
      <c r="L155" s="337" t="s">
        <v>441</v>
      </c>
      <c r="P155" s="289">
        <v>3100</v>
      </c>
      <c r="Q155" s="289" t="s">
        <v>442</v>
      </c>
      <c r="R155" s="289">
        <v>25</v>
      </c>
      <c r="S155" s="289" t="s">
        <v>443</v>
      </c>
      <c r="V155" s="289">
        <v>1</v>
      </c>
      <c r="W155" s="289">
        <f t="shared" ref="W155:W163" si="12">$P$155*110</f>
        <v>341000</v>
      </c>
      <c r="X155" s="289">
        <f t="shared" ref="X155:X163" si="13">110*$P$161</f>
        <v>166100</v>
      </c>
      <c r="Y155" s="289" t="e">
        <f>110*#REF!</f>
        <v>#REF!</v>
      </c>
    </row>
    <row r="156" spans="2:25" ht="13.2">
      <c r="B156" s="337"/>
      <c r="C156" s="337" t="s">
        <v>48</v>
      </c>
      <c r="D156" s="338">
        <v>2024</v>
      </c>
      <c r="E156" s="338" t="s">
        <v>219</v>
      </c>
      <c r="F156" s="337" t="s">
        <v>444</v>
      </c>
      <c r="G156" s="337" t="s">
        <v>53</v>
      </c>
      <c r="H156" s="339" t="s">
        <v>285</v>
      </c>
      <c r="I156" s="340">
        <f>E39</f>
        <v>36.111111111111114</v>
      </c>
      <c r="J156" s="340">
        <f>E39</f>
        <v>36.111111111111114</v>
      </c>
      <c r="K156" s="337"/>
      <c r="L156" s="337" t="s">
        <v>441</v>
      </c>
      <c r="P156" s="289">
        <v>3100</v>
      </c>
      <c r="Q156" s="289" t="s">
        <v>442</v>
      </c>
      <c r="R156" s="289">
        <v>25</v>
      </c>
      <c r="S156" s="289" t="s">
        <v>443</v>
      </c>
      <c r="V156" s="289">
        <v>1</v>
      </c>
      <c r="W156" s="289">
        <f t="shared" si="12"/>
        <v>341000</v>
      </c>
      <c r="X156" s="289">
        <f t="shared" si="13"/>
        <v>166100</v>
      </c>
      <c r="Y156" s="289" t="e">
        <f>110*#REF!</f>
        <v>#REF!</v>
      </c>
    </row>
    <row r="157" spans="2:25" ht="13.2">
      <c r="B157" s="337"/>
      <c r="C157" s="337" t="s">
        <v>48</v>
      </c>
      <c r="D157" s="338">
        <v>2025</v>
      </c>
      <c r="E157" s="338" t="s">
        <v>219</v>
      </c>
      <c r="F157" s="337" t="s">
        <v>444</v>
      </c>
      <c r="G157" s="337" t="s">
        <v>53</v>
      </c>
      <c r="H157" s="339" t="s">
        <v>285</v>
      </c>
      <c r="I157" s="340">
        <v>0</v>
      </c>
      <c r="J157" s="340">
        <v>0</v>
      </c>
      <c r="K157" s="337"/>
      <c r="L157" s="337" t="s">
        <v>441</v>
      </c>
      <c r="P157" s="289">
        <v>3100</v>
      </c>
      <c r="Q157" s="289" t="s">
        <v>442</v>
      </c>
      <c r="R157" s="289">
        <v>25</v>
      </c>
      <c r="S157" s="289" t="s">
        <v>443</v>
      </c>
      <c r="V157" s="289">
        <v>3</v>
      </c>
      <c r="W157" s="289">
        <f t="shared" si="12"/>
        <v>341000</v>
      </c>
      <c r="X157" s="289">
        <f t="shared" si="13"/>
        <v>166100</v>
      </c>
      <c r="Y157" s="289" t="e">
        <f>110*#REF!</f>
        <v>#REF!</v>
      </c>
    </row>
    <row r="158" spans="2:25" ht="13.2">
      <c r="B158" s="337"/>
      <c r="C158" s="337" t="s">
        <v>48</v>
      </c>
      <c r="D158" s="338">
        <v>2018</v>
      </c>
      <c r="E158" s="338" t="s">
        <v>219</v>
      </c>
      <c r="F158" s="337" t="s">
        <v>445</v>
      </c>
      <c r="G158" s="337" t="s">
        <v>53</v>
      </c>
      <c r="H158" s="339" t="s">
        <v>285</v>
      </c>
      <c r="I158" s="340">
        <f>E49</f>
        <v>36.111111111111114</v>
      </c>
      <c r="J158" s="340">
        <f>I158</f>
        <v>36.111111111111114</v>
      </c>
      <c r="K158" s="337"/>
      <c r="L158" s="337" t="s">
        <v>441</v>
      </c>
      <c r="P158" s="289">
        <v>4400</v>
      </c>
      <c r="Q158" s="289" t="s">
        <v>442</v>
      </c>
      <c r="R158" s="289">
        <v>25</v>
      </c>
      <c r="S158" s="289" t="s">
        <v>443</v>
      </c>
      <c r="V158" s="289">
        <v>4</v>
      </c>
      <c r="W158" s="289">
        <f t="shared" si="12"/>
        <v>341000</v>
      </c>
      <c r="X158" s="289">
        <f t="shared" si="13"/>
        <v>166100</v>
      </c>
      <c r="Y158" s="289" t="e">
        <f>110*#REF!</f>
        <v>#REF!</v>
      </c>
    </row>
    <row r="159" spans="2:25" ht="13.2">
      <c r="B159" s="337"/>
      <c r="C159" s="337" t="s">
        <v>48</v>
      </c>
      <c r="D159" s="338">
        <v>2024</v>
      </c>
      <c r="E159" s="338" t="s">
        <v>219</v>
      </c>
      <c r="F159" s="337" t="s">
        <v>445</v>
      </c>
      <c r="G159" s="337" t="s">
        <v>53</v>
      </c>
      <c r="H159" s="339" t="s">
        <v>285</v>
      </c>
      <c r="I159" s="340">
        <f>E50</f>
        <v>36.111111111111114</v>
      </c>
      <c r="J159" s="340">
        <f>I159</f>
        <v>36.111111111111114</v>
      </c>
      <c r="K159" s="337"/>
      <c r="L159" s="337" t="s">
        <v>441</v>
      </c>
      <c r="P159" s="289">
        <v>4400</v>
      </c>
      <c r="Q159" s="289" t="s">
        <v>442</v>
      </c>
      <c r="R159" s="289">
        <v>25</v>
      </c>
      <c r="S159" s="289" t="s">
        <v>443</v>
      </c>
      <c r="V159" s="289">
        <v>4</v>
      </c>
      <c r="W159" s="289">
        <f t="shared" si="12"/>
        <v>341000</v>
      </c>
      <c r="X159" s="289">
        <f t="shared" si="13"/>
        <v>166100</v>
      </c>
      <c r="Y159" s="289" t="e">
        <f>110*#REF!</f>
        <v>#REF!</v>
      </c>
    </row>
    <row r="160" spans="2:25" ht="13.2">
      <c r="B160" s="337"/>
      <c r="C160" s="337" t="s">
        <v>48</v>
      </c>
      <c r="D160" s="338">
        <v>2025</v>
      </c>
      <c r="E160" s="338" t="s">
        <v>219</v>
      </c>
      <c r="F160" s="337" t="s">
        <v>445</v>
      </c>
      <c r="G160" s="337" t="s">
        <v>53</v>
      </c>
      <c r="H160" s="339" t="s">
        <v>285</v>
      </c>
      <c r="I160" s="340">
        <v>0</v>
      </c>
      <c r="J160" s="340">
        <v>0</v>
      </c>
      <c r="K160" s="337"/>
      <c r="L160" s="337" t="s">
        <v>441</v>
      </c>
      <c r="P160" s="289">
        <v>4400</v>
      </c>
      <c r="Q160" s="289" t="s">
        <v>442</v>
      </c>
      <c r="R160" s="289">
        <v>25</v>
      </c>
      <c r="S160" s="289" t="s">
        <v>443</v>
      </c>
      <c r="V160" s="289">
        <v>6</v>
      </c>
      <c r="W160" s="289">
        <f t="shared" si="12"/>
        <v>341000</v>
      </c>
      <c r="X160" s="289">
        <f t="shared" si="13"/>
        <v>166100</v>
      </c>
      <c r="Y160" s="289" t="e">
        <f>110*#REF!</f>
        <v>#REF!</v>
      </c>
    </row>
    <row r="161" spans="2:25" ht="13.2">
      <c r="B161" s="337"/>
      <c r="C161" s="337" t="s">
        <v>48</v>
      </c>
      <c r="D161" s="338">
        <v>2018</v>
      </c>
      <c r="E161" s="338" t="s">
        <v>219</v>
      </c>
      <c r="F161" s="337" t="s">
        <v>446</v>
      </c>
      <c r="G161" s="337" t="s">
        <v>54</v>
      </c>
      <c r="H161" s="339" t="s">
        <v>285</v>
      </c>
      <c r="I161" s="340">
        <f>E113</f>
        <v>36.111111111111114</v>
      </c>
      <c r="J161" s="340">
        <f>I161</f>
        <v>36.111111111111114</v>
      </c>
      <c r="K161" s="337"/>
      <c r="L161" s="337" t="s">
        <v>441</v>
      </c>
      <c r="P161" s="289">
        <v>1510</v>
      </c>
      <c r="Q161" s="289" t="s">
        <v>442</v>
      </c>
      <c r="R161" s="289">
        <v>30</v>
      </c>
      <c r="S161" s="289" t="s">
        <v>443</v>
      </c>
      <c r="V161" s="289">
        <v>7</v>
      </c>
      <c r="W161" s="289">
        <f t="shared" si="12"/>
        <v>341000</v>
      </c>
      <c r="X161" s="289">
        <f t="shared" si="13"/>
        <v>166100</v>
      </c>
      <c r="Y161" s="289" t="e">
        <f>110*#REF!</f>
        <v>#REF!</v>
      </c>
    </row>
    <row r="162" spans="2:25" ht="13.2">
      <c r="B162" s="337"/>
      <c r="C162" s="337" t="s">
        <v>48</v>
      </c>
      <c r="D162" s="338">
        <v>2024</v>
      </c>
      <c r="E162" s="338" t="s">
        <v>219</v>
      </c>
      <c r="F162" s="337" t="s">
        <v>446</v>
      </c>
      <c r="G162" s="337" t="s">
        <v>54</v>
      </c>
      <c r="H162" s="339" t="s">
        <v>285</v>
      </c>
      <c r="I162" s="340">
        <f>E114</f>
        <v>36.111111111111114</v>
      </c>
      <c r="J162" s="340">
        <f>I162</f>
        <v>36.111111111111114</v>
      </c>
      <c r="K162" s="337"/>
      <c r="L162" s="337" t="s">
        <v>441</v>
      </c>
      <c r="P162" s="289">
        <v>1510</v>
      </c>
      <c r="Q162" s="289" t="s">
        <v>442</v>
      </c>
      <c r="R162" s="289">
        <v>30</v>
      </c>
      <c r="S162" s="289" t="s">
        <v>443</v>
      </c>
      <c r="V162" s="289">
        <v>7</v>
      </c>
      <c r="W162" s="289">
        <f t="shared" si="12"/>
        <v>341000</v>
      </c>
      <c r="X162" s="289">
        <f t="shared" si="13"/>
        <v>166100</v>
      </c>
      <c r="Y162" s="289" t="e">
        <f>110*#REF!</f>
        <v>#REF!</v>
      </c>
    </row>
    <row r="163" spans="2:25" ht="13.2">
      <c r="B163" s="341"/>
      <c r="C163" s="341" t="s">
        <v>48</v>
      </c>
      <c r="D163" s="342">
        <v>2025</v>
      </c>
      <c r="E163" s="342" t="s">
        <v>219</v>
      </c>
      <c r="F163" s="341" t="s">
        <v>446</v>
      </c>
      <c r="G163" s="341" t="s">
        <v>54</v>
      </c>
      <c r="H163" s="343" t="s">
        <v>285</v>
      </c>
      <c r="I163" s="344">
        <v>0</v>
      </c>
      <c r="J163" s="344">
        <v>0</v>
      </c>
      <c r="K163" s="341"/>
      <c r="L163" s="341" t="s">
        <v>441</v>
      </c>
      <c r="P163" s="289">
        <v>1510</v>
      </c>
      <c r="Q163" s="289" t="s">
        <v>442</v>
      </c>
      <c r="R163" s="289">
        <v>30</v>
      </c>
      <c r="S163" s="289" t="s">
        <v>443</v>
      </c>
      <c r="V163" s="289">
        <v>9</v>
      </c>
      <c r="W163" s="289">
        <f t="shared" si="12"/>
        <v>341000</v>
      </c>
      <c r="X163" s="289">
        <f t="shared" si="13"/>
        <v>166100</v>
      </c>
      <c r="Y163" s="289" t="e">
        <f>110*#REF!</f>
        <v>#REF!</v>
      </c>
    </row>
    <row r="164" spans="2:25" ht="13.2">
      <c r="D164" s="292"/>
      <c r="E164" s="292"/>
      <c r="H164" s="345"/>
      <c r="I164" s="299"/>
      <c r="J164" s="299"/>
    </row>
    <row r="165" spans="2:25" ht="13.2">
      <c r="D165" s="292"/>
      <c r="E165" s="292"/>
      <c r="H165" s="345"/>
      <c r="I165" s="299"/>
      <c r="J165" s="299"/>
      <c r="V165" s="289">
        <v>23</v>
      </c>
      <c r="W165" s="289">
        <f>$P$155*110</f>
        <v>341000</v>
      </c>
      <c r="X165" s="289">
        <f>110*$P$161</f>
        <v>166100</v>
      </c>
    </row>
    <row r="166" spans="2:25" ht="13.2">
      <c r="B166" s="346"/>
      <c r="C166" s="347"/>
      <c r="D166" s="347"/>
      <c r="E166" s="347"/>
      <c r="F166" s="347"/>
      <c r="G166" s="347"/>
      <c r="H166" s="345"/>
      <c r="I166" s="299"/>
      <c r="J166" s="299"/>
    </row>
    <row r="167" spans="2:25">
      <c r="J167" s="299"/>
      <c r="V167" s="289">
        <v>22</v>
      </c>
      <c r="W167" s="289">
        <f>$P$155*110</f>
        <v>341000</v>
      </c>
      <c r="X167" s="289">
        <f>110*$P$161</f>
        <v>166100</v>
      </c>
    </row>
    <row r="168" spans="2:25">
      <c r="J168" s="299"/>
      <c r="V168" s="289">
        <v>23</v>
      </c>
      <c r="W168" s="289">
        <f>$P$155*110</f>
        <v>341000</v>
      </c>
      <c r="X168" s="289">
        <f>110*$P$161</f>
        <v>166100</v>
      </c>
    </row>
    <row r="169" spans="2:25">
      <c r="J169" s="299"/>
    </row>
    <row r="170" spans="2:25">
      <c r="J170" s="299"/>
    </row>
    <row r="171" spans="2:25">
      <c r="J171" s="299"/>
    </row>
    <row r="172" spans="2:25">
      <c r="J172" s="299"/>
      <c r="V172" s="289">
        <v>24</v>
      </c>
      <c r="W172" s="289">
        <f>$P$155*110</f>
        <v>341000</v>
      </c>
      <c r="X172" s="289">
        <f t="shared" ref="X172:X178" si="14">110*$P$161</f>
        <v>166100</v>
      </c>
    </row>
    <row r="173" spans="2:25">
      <c r="J173" s="299"/>
      <c r="V173" s="289">
        <v>25</v>
      </c>
      <c r="W173" s="289">
        <f>$P$155*110</f>
        <v>341000</v>
      </c>
      <c r="X173" s="289">
        <f t="shared" si="14"/>
        <v>166100</v>
      </c>
    </row>
    <row r="174" spans="2:25">
      <c r="J174" s="299"/>
      <c r="V174" s="289">
        <v>26</v>
      </c>
      <c r="X174" s="289">
        <f t="shared" si="14"/>
        <v>166100</v>
      </c>
    </row>
    <row r="175" spans="2:25" ht="13.2">
      <c r="D175" s="292"/>
      <c r="E175" s="292"/>
      <c r="H175" s="345"/>
      <c r="I175" s="299"/>
      <c r="J175" s="299"/>
      <c r="V175" s="289">
        <v>27</v>
      </c>
      <c r="X175" s="289">
        <f t="shared" si="14"/>
        <v>166100</v>
      </c>
    </row>
    <row r="176" spans="2:25" ht="13.2">
      <c r="D176" s="292"/>
      <c r="E176" s="292"/>
      <c r="H176" s="345"/>
      <c r="I176" s="299"/>
      <c r="J176" s="299"/>
      <c r="R176" s="289" t="s">
        <v>451</v>
      </c>
      <c r="S176" s="289">
        <v>8.5250000000000004</v>
      </c>
      <c r="T176" s="348">
        <f>NPV(0.04,W155:W172)/1000000+W155/1000000</f>
        <v>3.7461059157018659</v>
      </c>
      <c r="U176" s="349">
        <f>T176/S176</f>
        <v>0.43942591386532148</v>
      </c>
      <c r="V176" s="289">
        <v>28</v>
      </c>
      <c r="X176" s="289">
        <f t="shared" si="14"/>
        <v>166100</v>
      </c>
    </row>
    <row r="177" spans="2:24" ht="13.2">
      <c r="D177" s="292"/>
      <c r="E177" s="292"/>
      <c r="H177" s="345"/>
      <c r="I177" s="299"/>
      <c r="J177" s="299"/>
      <c r="R177" s="289" t="s">
        <v>452</v>
      </c>
      <c r="S177" s="289">
        <v>4.9829999999999997</v>
      </c>
      <c r="T177" s="348">
        <f>NPV(0.04,X155:X177)/1000000+X155/1000000</f>
        <v>2.2688092275005016</v>
      </c>
      <c r="U177" s="349">
        <f>T177/S177</f>
        <v>0.45530989915723497</v>
      </c>
      <c r="V177" s="289">
        <v>29</v>
      </c>
      <c r="X177" s="289">
        <f t="shared" si="14"/>
        <v>166100</v>
      </c>
    </row>
    <row r="178" spans="2:24" ht="13.2">
      <c r="D178" s="292"/>
      <c r="E178" s="292"/>
      <c r="H178" s="345"/>
      <c r="I178" s="299"/>
      <c r="J178" s="299"/>
      <c r="R178" s="289" t="s">
        <v>287</v>
      </c>
      <c r="S178" s="289">
        <v>1.6500000000000024</v>
      </c>
      <c r="T178" s="348" t="e">
        <f>NPV(0.04,Y155:Y163)/1000000+Y155/1000000</f>
        <v>#REF!</v>
      </c>
      <c r="U178" s="349" t="e">
        <f>T178/S178</f>
        <v>#REF!</v>
      </c>
      <c r="V178" s="289">
        <v>30</v>
      </c>
      <c r="X178" s="289">
        <f t="shared" si="14"/>
        <v>166100</v>
      </c>
    </row>
    <row r="179" spans="2:24" ht="13.2">
      <c r="D179" s="292"/>
      <c r="E179" s="292"/>
      <c r="H179" s="345"/>
      <c r="I179" s="299"/>
      <c r="J179" s="299"/>
    </row>
    <row r="180" spans="2:24" ht="13.2">
      <c r="D180" s="292"/>
      <c r="E180" s="292"/>
      <c r="H180" s="345"/>
      <c r="I180" s="299"/>
      <c r="J180" s="299"/>
    </row>
    <row r="181" spans="2:24" ht="13.2">
      <c r="D181" s="292"/>
      <c r="E181" s="292"/>
      <c r="H181" s="345"/>
      <c r="I181" s="299"/>
      <c r="J181" s="299"/>
    </row>
    <row r="182" spans="2:24" ht="13.2">
      <c r="D182" s="292"/>
      <c r="E182" s="292"/>
      <c r="H182" s="345"/>
      <c r="I182" s="299"/>
      <c r="J182" s="299"/>
    </row>
    <row r="183" spans="2:24" ht="13.2">
      <c r="D183" s="292"/>
      <c r="E183" s="292"/>
      <c r="H183" s="345"/>
      <c r="I183" s="299"/>
      <c r="J183" s="299"/>
    </row>
    <row r="184" spans="2:24" ht="13.2">
      <c r="D184" s="292"/>
      <c r="E184" s="292"/>
      <c r="H184" s="345"/>
      <c r="I184" s="299"/>
      <c r="J184" s="299"/>
    </row>
    <row r="185" spans="2:24">
      <c r="B185" s="289" t="s">
        <v>275</v>
      </c>
      <c r="G185" s="350" t="s">
        <v>276</v>
      </c>
      <c r="H185" s="351">
        <v>42573</v>
      </c>
      <c r="I185" s="299"/>
      <c r="J185" s="299"/>
    </row>
    <row r="186" spans="2:24">
      <c r="B186" s="352" t="s">
        <v>264</v>
      </c>
      <c r="I186" s="299"/>
      <c r="J186" s="299"/>
    </row>
    <row r="187" spans="2:24">
      <c r="B187" s="352" t="s">
        <v>258</v>
      </c>
      <c r="I187" s="299"/>
      <c r="J187" s="299"/>
    </row>
    <row r="188" spans="2:24">
      <c r="B188" s="289">
        <v>2010</v>
      </c>
      <c r="C188" s="289" t="s">
        <v>246</v>
      </c>
      <c r="D188" s="289" t="s">
        <v>245</v>
      </c>
      <c r="E188" s="289" t="s">
        <v>247</v>
      </c>
      <c r="I188" s="299"/>
      <c r="J188" s="299"/>
    </row>
    <row r="189" spans="2:24">
      <c r="B189" s="289">
        <v>2012</v>
      </c>
      <c r="I189" s="299"/>
      <c r="J189" s="299"/>
    </row>
    <row r="190" spans="2:24">
      <c r="B190" s="289">
        <v>2015</v>
      </c>
      <c r="C190" s="289" t="s">
        <v>225</v>
      </c>
      <c r="D190" s="289" t="s">
        <v>229</v>
      </c>
      <c r="E190" s="289" t="s">
        <v>233</v>
      </c>
      <c r="F190" s="289" t="s">
        <v>288</v>
      </c>
      <c r="G190" s="289" t="s">
        <v>237</v>
      </c>
      <c r="H190" s="289" t="s">
        <v>241</v>
      </c>
      <c r="I190" s="289" t="s">
        <v>315</v>
      </c>
      <c r="L190" s="289" t="s">
        <v>316</v>
      </c>
      <c r="N190" s="289" t="s">
        <v>317</v>
      </c>
    </row>
    <row r="191" spans="2:24">
      <c r="B191" s="289">
        <v>2020</v>
      </c>
      <c r="C191" s="289" t="s">
        <v>226</v>
      </c>
      <c r="D191" s="289" t="s">
        <v>230</v>
      </c>
      <c r="E191" s="289" t="s">
        <v>234</v>
      </c>
      <c r="F191" s="289" t="s">
        <v>289</v>
      </c>
      <c r="G191" s="289" t="s">
        <v>238</v>
      </c>
      <c r="H191" s="289" t="s">
        <v>242</v>
      </c>
      <c r="I191" s="289" t="s">
        <v>318</v>
      </c>
      <c r="N191" s="289" t="s">
        <v>319</v>
      </c>
    </row>
    <row r="192" spans="2:24">
      <c r="B192" s="289">
        <v>2025</v>
      </c>
      <c r="C192" s="289" t="s">
        <v>320</v>
      </c>
      <c r="D192" s="289" t="s">
        <v>321</v>
      </c>
      <c r="E192" s="289" t="s">
        <v>322</v>
      </c>
      <c r="F192" s="289" t="s">
        <v>290</v>
      </c>
      <c r="G192" s="289" t="s">
        <v>323</v>
      </c>
      <c r="H192" s="289" t="s">
        <v>324</v>
      </c>
      <c r="L192" s="289" t="s">
        <v>453</v>
      </c>
      <c r="M192" s="289" t="s">
        <v>453</v>
      </c>
    </row>
    <row r="193" spans="2:27">
      <c r="B193" s="289">
        <v>2030</v>
      </c>
      <c r="C193" s="289" t="s">
        <v>227</v>
      </c>
      <c r="D193" s="289" t="s">
        <v>231</v>
      </c>
      <c r="E193" s="289" t="s">
        <v>235</v>
      </c>
      <c r="F193" s="289" t="s">
        <v>291</v>
      </c>
      <c r="G193" s="289" t="s">
        <v>239</v>
      </c>
      <c r="H193" s="289" t="s">
        <v>243</v>
      </c>
    </row>
    <row r="194" spans="2:27">
      <c r="B194" s="289">
        <v>2035</v>
      </c>
      <c r="C194" s="289" t="s">
        <v>309</v>
      </c>
      <c r="D194" s="289" t="s">
        <v>312</v>
      </c>
      <c r="E194" s="289" t="s">
        <v>325</v>
      </c>
      <c r="F194" s="289" t="s">
        <v>326</v>
      </c>
      <c r="G194" s="289" t="s">
        <v>327</v>
      </c>
      <c r="H194" s="289" t="s">
        <v>328</v>
      </c>
    </row>
    <row r="195" spans="2:27">
      <c r="B195" s="289">
        <v>2040</v>
      </c>
      <c r="C195" s="289" t="s">
        <v>310</v>
      </c>
      <c r="D195" s="289" t="s">
        <v>313</v>
      </c>
      <c r="E195" s="289" t="s">
        <v>329</v>
      </c>
      <c r="F195" s="289" t="s">
        <v>330</v>
      </c>
      <c r="G195" s="289" t="s">
        <v>331</v>
      </c>
      <c r="H195" s="289" t="s">
        <v>332</v>
      </c>
    </row>
    <row r="196" spans="2:27">
      <c r="B196" s="289">
        <v>2045</v>
      </c>
      <c r="C196" s="289" t="s">
        <v>311</v>
      </c>
      <c r="D196" s="289" t="s">
        <v>314</v>
      </c>
      <c r="E196" s="289" t="s">
        <v>333</v>
      </c>
      <c r="F196" s="289" t="s">
        <v>334</v>
      </c>
      <c r="G196" s="289" t="s">
        <v>335</v>
      </c>
      <c r="H196" s="289" t="s">
        <v>336</v>
      </c>
    </row>
    <row r="197" spans="2:27">
      <c r="B197" s="289">
        <v>2050</v>
      </c>
      <c r="C197" s="289" t="s">
        <v>228</v>
      </c>
      <c r="D197" s="289" t="s">
        <v>232</v>
      </c>
      <c r="E197" s="289" t="s">
        <v>236</v>
      </c>
      <c r="F197" s="289" t="s">
        <v>292</v>
      </c>
      <c r="G197" s="289" t="s">
        <v>240</v>
      </c>
      <c r="H197" s="289" t="s">
        <v>244</v>
      </c>
    </row>
    <row r="199" spans="2:27">
      <c r="V199" s="352"/>
      <c r="W199" s="352"/>
      <c r="X199" s="352"/>
      <c r="Y199" s="352"/>
      <c r="Z199" s="352"/>
      <c r="AA199" s="352"/>
    </row>
    <row r="231" spans="22:27">
      <c r="V231" s="352"/>
      <c r="W231" s="352"/>
      <c r="X231" s="352"/>
      <c r="Y231" s="352"/>
      <c r="Z231" s="352"/>
      <c r="AA231" s="352"/>
    </row>
  </sheetData>
  <mergeCells count="2">
    <mergeCell ref="C7:D7"/>
    <mergeCell ref="H7:K7"/>
  </mergeCells>
  <pageMargins left="0.7" right="0.7" top="0.75" bottom="0.75" header="0.3" footer="0.3"/>
  <pageSetup orientation="portrait" horizontalDpi="1200" verticalDpi="12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LOG</vt:lpstr>
      <vt:lpstr>Intro</vt:lpstr>
      <vt:lpstr>TAX_HPL_FuelInput</vt:lpstr>
      <vt:lpstr>TAX_CHP-SFuel</vt:lpstr>
      <vt:lpstr>TAX_CHP_MultiFuel-NEW</vt:lpstr>
      <vt:lpstr>Sub_CHP-Bio</vt:lpstr>
      <vt:lpstr>SUB_NGA</vt:lpstr>
      <vt:lpstr>Sub_Biogas</vt:lpstr>
      <vt:lpstr>Sub_Win_Sol</vt:lpstr>
      <vt:lpstr>Sub_CHP-Bio_Old</vt:lpstr>
      <vt:lpstr>FuelTax</vt:lpstr>
      <vt:lpstr>Dact Sub_Win_Sol2</vt:lpstr>
      <vt:lpstr>Dact Sub_Win_Sol</vt:lpstr>
      <vt:lpstr>Dact TAX_CHP_MultiFuel</vt:lpstr>
      <vt:lpstr>Template_SUB_CHP</vt:lpstr>
      <vt:lpstr>Template_SUB_RNW_ElcProd</vt:lpstr>
      <vt:lpstr>Template_TAX_CHP</vt:lpstr>
      <vt:lpstr>Template TAX_HPL_HeatProd</vt:lpstr>
      <vt:lpstr>Template SUB_HPL_HeatProd</vt:lpstr>
      <vt:lpstr>'TAX_CHP-SFuel'!Extract</vt:lpstr>
      <vt:lpstr>TAX_HPL_FuelInput!Extract</vt:lpstr>
      <vt:lpstr>FuelTax2</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Mikkel Bosack</cp:lastModifiedBy>
  <dcterms:created xsi:type="dcterms:W3CDTF">2013-08-28T09:44:42Z</dcterms:created>
  <dcterms:modified xsi:type="dcterms:W3CDTF">2021-06-03T09:31:31Z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761288166046142</vt:r8>
  </property>
</Properties>
</file>